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showInkAnnotation="0" updateLinks="never" codeName="EstaPasta_de_trabalho"/>
  <mc:AlternateContent xmlns:mc="http://schemas.openxmlformats.org/markup-compatibility/2006">
    <mc:Choice Requires="x15">
      <x15ac:absPath xmlns:x15ac="http://schemas.microsoft.com/office/spreadsheetml/2010/11/ac" url="C:\Users\iczanatta\OneDrive - Jalles Machado S A\Área de Trabalho\Verifit - Alterações\UOL\"/>
    </mc:Choice>
  </mc:AlternateContent>
  <xr:revisionPtr revIDLastSave="0" documentId="13_ncr:1_{F9224B92-F242-4EFA-A3EC-6EC7325BA9C5}" xr6:coauthVersionLast="45" xr6:coauthVersionMax="45" xr10:uidLastSave="{00000000-0000-0000-0000-000000000000}"/>
  <workbookProtection lockStructure="1"/>
  <bookViews>
    <workbookView xWindow="-120" yWindow="-120" windowWidth="20730" windowHeight="11160" tabRatio="869" activeTab="3" xr2:uid="{00000000-000D-0000-FFFF-FFFF00000000}"/>
  </bookViews>
  <sheets>
    <sheet name="Controle de Revisões" sheetId="137" r:id="rId1"/>
    <sheet name="Instruções" sheetId="57" r:id="rId2"/>
    <sheet name="Diretório" sheetId="12" r:id="rId3"/>
    <sheet name="E1GC" sheetId="58" r:id="rId4"/>
    <sheet name="_E1GC" sheetId="81" state="hidden" r:id="rId5"/>
    <sheet name="E1G2G" sheetId="115" r:id="rId6"/>
    <sheet name="_E1G2G" sheetId="116" state="hidden" r:id="rId7"/>
    <sheet name="E2G" sheetId="123" r:id="rId8"/>
    <sheet name="_E2G" sheetId="124" state="hidden" r:id="rId9"/>
    <sheet name="E1G Flex" sheetId="121" r:id="rId10"/>
    <sheet name="_E1G Flex" sheetId="122" state="hidden" r:id="rId11"/>
    <sheet name="E1GM" sheetId="43" r:id="rId12"/>
    <sheet name="_E1GM" sheetId="63" state="hidden" r:id="rId13"/>
    <sheet name="E1GMI" sheetId="119" r:id="rId14"/>
    <sheet name="_E1GMI" sheetId="120" state="hidden" r:id="rId15"/>
    <sheet name="Biodiesel" sheetId="54" r:id="rId16"/>
    <sheet name="_Biodiesel" sheetId="92" state="hidden" r:id="rId17"/>
    <sheet name="CombAlterHEFA" sheetId="117" r:id="rId18"/>
    <sheet name="_BioQavHEFA" sheetId="118" state="hidden" r:id="rId19"/>
    <sheet name="Biometano" sheetId="107" r:id="rId20"/>
    <sheet name="_Biometano" sheetId="48" state="hidden" r:id="rId21"/>
    <sheet name="Dados auxiliares" sheetId="82" state="hidden" r:id="rId22"/>
    <sheet name="FE's queima combustíveis" sheetId="90" state="hidden" r:id="rId23"/>
    <sheet name="_Emissões Agrícolas" sheetId="96" state="hidden" r:id="rId24"/>
    <sheet name="Enderecos" sheetId="59" state="hidden" r:id="rId25"/>
    <sheet name="Listas" sheetId="38" state="hidden" r:id="rId26"/>
    <sheet name="calculos_Anna" sheetId="138" state="hidden" r:id="rId27"/>
  </sheets>
  <definedNames>
    <definedName name="Bioquerosene">Listas!$B$25:$B$27</definedName>
    <definedName name="CAR">Listas!$B$7:$B$9</definedName>
    <definedName name="Carne">#REF!</definedName>
    <definedName name="CréditoAdicional">#REF!</definedName>
    <definedName name="CréditoAdicionalSOMA">#REF!</definedName>
    <definedName name="CréditoAdicionalSOMASE">#REF!</definedName>
    <definedName name="Etanol">Listas!$B$17:$B$18</definedName>
    <definedName name="Fruta">#REF!</definedName>
    <definedName name="Itens">#REF!</definedName>
    <definedName name="MaisFruta">#REF!</definedName>
    <definedName name="MaisItem">#REF!</definedName>
    <definedName name="MaisItens">#REF!</definedName>
    <definedName name="Produtos_HEFA">Listas!$B$25:$B$27</definedName>
    <definedName name="Residuos">Listas!$D$3:$D$21</definedName>
    <definedName name="Rota_Biodiesel">Listas!$B$21:$B$22</definedName>
    <definedName name="Sistema_Plantio">Listas!$B$12:$B$14</definedName>
    <definedName name="SN">Listas!$B$3:$B$4</definedName>
    <definedName name="SOMASE">#REF!</definedName>
    <definedName name="Tot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9" i="138" l="1"/>
  <c r="M8" i="138"/>
  <c r="D180" i="122" l="1"/>
  <c r="D179" i="122"/>
  <c r="D178" i="122"/>
  <c r="D177" i="122"/>
  <c r="D176" i="122"/>
  <c r="D175" i="122"/>
  <c r="D174" i="122"/>
  <c r="D173" i="122"/>
  <c r="K18" i="138" l="1"/>
  <c r="K19" i="138" s="1"/>
  <c r="K20" i="138" l="1"/>
  <c r="K21" i="138"/>
  <c r="M10" i="138"/>
  <c r="D12" i="137"/>
  <c r="D138" i="118" l="1"/>
  <c r="F138" i="118" s="1"/>
  <c r="D136" i="118"/>
  <c r="M138" i="118"/>
  <c r="L138" i="118"/>
  <c r="L136" i="118"/>
  <c r="O138" i="118" l="1"/>
  <c r="O136" i="118"/>
  <c r="O140" i="118" l="1"/>
  <c r="D138" i="92"/>
  <c r="K150" i="92" l="1"/>
  <c r="Q150" i="92" s="1"/>
  <c r="K148" i="92"/>
  <c r="Q148" i="92" s="1"/>
  <c r="K146" i="92"/>
  <c r="Q146" i="92" s="1"/>
  <c r="K138" i="92"/>
  <c r="J144" i="92"/>
  <c r="J142" i="92"/>
  <c r="J140" i="92"/>
  <c r="J138" i="92"/>
  <c r="J136" i="92"/>
  <c r="M138" i="92" l="1"/>
  <c r="Y65" i="58"/>
  <c r="Y64" i="58"/>
  <c r="Y63" i="58"/>
  <c r="AA135" i="58" l="1"/>
  <c r="V26" i="58"/>
  <c r="E95" i="107"/>
  <c r="E203" i="117"/>
  <c r="E197" i="117"/>
  <c r="E191" i="117"/>
  <c r="E213" i="54"/>
  <c r="E144" i="43"/>
  <c r="E139" i="43"/>
  <c r="E130" i="119"/>
  <c r="E126" i="119"/>
  <c r="E223" i="121"/>
  <c r="E147" i="58"/>
  <c r="E229" i="121"/>
  <c r="E92" i="123"/>
  <c r="E86" i="123"/>
  <c r="E153" i="58"/>
  <c r="E163" i="115"/>
  <c r="E157" i="115"/>
  <c r="V85" i="121" l="1"/>
  <c r="V84" i="121"/>
  <c r="V83" i="121"/>
  <c r="V82" i="121"/>
  <c r="V81" i="121"/>
  <c r="V80" i="121"/>
  <c r="V79" i="121"/>
  <c r="V78" i="121"/>
  <c r="V77" i="121"/>
  <c r="V76" i="121"/>
  <c r="V75" i="121"/>
  <c r="V74" i="121"/>
  <c r="V73" i="121"/>
  <c r="V72" i="121"/>
  <c r="Y73" i="121"/>
  <c r="V71" i="121"/>
  <c r="Y68" i="121"/>
  <c r="Y67" i="121"/>
  <c r="Y66" i="121"/>
  <c r="Y65" i="121"/>
  <c r="Y64" i="121"/>
  <c r="V68" i="121"/>
  <c r="V67" i="121"/>
  <c r="V66" i="121"/>
  <c r="V65" i="121"/>
  <c r="V64" i="121"/>
  <c r="V61" i="121"/>
  <c r="V60" i="121"/>
  <c r="V59" i="121"/>
  <c r="V58" i="121"/>
  <c r="V57" i="121"/>
  <c r="V56" i="121"/>
  <c r="V55" i="121"/>
  <c r="V54" i="121"/>
  <c r="V53" i="121"/>
  <c r="V52" i="121"/>
  <c r="V51" i="121"/>
  <c r="V50" i="121"/>
  <c r="V49" i="121"/>
  <c r="V48" i="121"/>
  <c r="V47" i="121"/>
  <c r="V46" i="121"/>
  <c r="V43" i="121"/>
  <c r="V42" i="121"/>
  <c r="V41" i="121"/>
  <c r="Y32" i="121"/>
  <c r="V38" i="121"/>
  <c r="V34" i="121"/>
  <c r="V33" i="121"/>
  <c r="V32" i="121"/>
  <c r="V30" i="121"/>
  <c r="V28" i="121"/>
  <c r="V27" i="121"/>
  <c r="Y71" i="115"/>
  <c r="V83" i="115"/>
  <c r="V82" i="115"/>
  <c r="V81" i="115"/>
  <c r="V80" i="115"/>
  <c r="V79" i="115"/>
  <c r="V78" i="115"/>
  <c r="V77" i="115"/>
  <c r="V76" i="115"/>
  <c r="V75" i="115"/>
  <c r="V74" i="115"/>
  <c r="V73" i="115"/>
  <c r="V72" i="115"/>
  <c r="V71" i="115"/>
  <c r="V70" i="115"/>
  <c r="V69" i="115"/>
  <c r="Y62" i="115"/>
  <c r="Y63" i="115"/>
  <c r="Y64" i="115"/>
  <c r="Y65" i="115"/>
  <c r="Y66" i="115"/>
  <c r="V66" i="115"/>
  <c r="V65" i="115"/>
  <c r="V64" i="115"/>
  <c r="V63" i="115"/>
  <c r="V62" i="115"/>
  <c r="V59" i="115"/>
  <c r="V58" i="115"/>
  <c r="V57" i="115"/>
  <c r="V56" i="115"/>
  <c r="V55" i="115"/>
  <c r="V54" i="115"/>
  <c r="V53" i="115"/>
  <c r="V52" i="115"/>
  <c r="V51" i="115"/>
  <c r="V50" i="115"/>
  <c r="V49" i="115"/>
  <c r="V48" i="115"/>
  <c r="V47" i="115"/>
  <c r="V46" i="115"/>
  <c r="V45" i="115"/>
  <c r="V44" i="115"/>
  <c r="V41" i="115"/>
  <c r="V40" i="115"/>
  <c r="V39" i="115"/>
  <c r="V36" i="115"/>
  <c r="Y31" i="115"/>
  <c r="V33" i="115"/>
  <c r="V32" i="115"/>
  <c r="V31" i="115"/>
  <c r="V29" i="115"/>
  <c r="V27" i="115"/>
  <c r="V26" i="115"/>
  <c r="Y71" i="58"/>
  <c r="V83" i="58"/>
  <c r="V82" i="58"/>
  <c r="V81" i="58"/>
  <c r="V80" i="58"/>
  <c r="V79" i="58"/>
  <c r="V78" i="58"/>
  <c r="V77" i="58"/>
  <c r="V76" i="58"/>
  <c r="V75" i="58"/>
  <c r="V74" i="58"/>
  <c r="V73" i="58"/>
  <c r="V72" i="58"/>
  <c r="V71" i="58"/>
  <c r="V70" i="58"/>
  <c r="V69" i="58"/>
  <c r="Y66" i="58"/>
  <c r="Y62" i="58"/>
  <c r="V66" i="58"/>
  <c r="V65" i="58"/>
  <c r="V64" i="58"/>
  <c r="V63" i="58"/>
  <c r="V62" i="58"/>
  <c r="V59" i="58"/>
  <c r="V58" i="58"/>
  <c r="V57" i="58"/>
  <c r="V56" i="58"/>
  <c r="V55" i="58"/>
  <c r="V54" i="58"/>
  <c r="V53" i="58"/>
  <c r="V52" i="58"/>
  <c r="V51" i="58"/>
  <c r="V50" i="58"/>
  <c r="V49" i="58"/>
  <c r="V48" i="58"/>
  <c r="V47" i="58"/>
  <c r="V46" i="58"/>
  <c r="V45" i="58"/>
  <c r="V44" i="58"/>
  <c r="V41" i="58"/>
  <c r="V40" i="58"/>
  <c r="V39" i="58"/>
  <c r="V36" i="58"/>
  <c r="Y31" i="58"/>
  <c r="V29" i="58"/>
  <c r="V33" i="58"/>
  <c r="V32" i="58"/>
  <c r="V31" i="58"/>
  <c r="V27" i="58"/>
  <c r="D178" i="92" l="1"/>
  <c r="D176" i="92"/>
  <c r="D174" i="92"/>
  <c r="D172" i="92"/>
  <c r="D170" i="92"/>
  <c r="D169" i="92"/>
  <c r="D168" i="92"/>
  <c r="D167" i="92"/>
  <c r="D164" i="92"/>
  <c r="D163" i="92"/>
  <c r="D162" i="92"/>
  <c r="D161" i="92"/>
  <c r="D160" i="92"/>
  <c r="D159" i="92"/>
  <c r="D158" i="92"/>
  <c r="D155" i="92"/>
  <c r="D154" i="92"/>
  <c r="D133" i="92"/>
  <c r="D132" i="92"/>
  <c r="D150" i="92" l="1"/>
  <c r="M150" i="92" s="1"/>
  <c r="D148" i="92"/>
  <c r="M148" i="92" s="1"/>
  <c r="D146" i="92"/>
  <c r="M146" i="92" s="1"/>
  <c r="D144" i="92"/>
  <c r="M144" i="92" s="1"/>
  <c r="D142" i="92"/>
  <c r="M142" i="92" s="1"/>
  <c r="D140" i="92"/>
  <c r="M140" i="92" s="1"/>
  <c r="D136" i="92"/>
  <c r="M136" i="92" l="1"/>
  <c r="D84" i="118"/>
  <c r="D85" i="92"/>
  <c r="M152" i="92" l="1"/>
  <c r="N138" i="92" s="1"/>
  <c r="D213" i="122"/>
  <c r="N136" i="92" l="1"/>
  <c r="N152" i="92" s="1"/>
  <c r="N146" i="92"/>
  <c r="O146" i="92" s="1"/>
  <c r="N148" i="92"/>
  <c r="O148" i="92" s="1"/>
  <c r="N150" i="92"/>
  <c r="O150" i="92" s="1"/>
  <c r="N140" i="92"/>
  <c r="O138" i="92"/>
  <c r="N142" i="92"/>
  <c r="N144" i="92"/>
  <c r="E145" i="122"/>
  <c r="F145" i="122" s="1"/>
  <c r="D118" i="116" l="1"/>
  <c r="D101" i="116"/>
  <c r="F101" i="116" s="1"/>
  <c r="D102" i="116"/>
  <c r="D34" i="48"/>
  <c r="D150" i="118" l="1"/>
  <c r="F150" i="118" s="1"/>
  <c r="D96" i="118"/>
  <c r="F168" i="92" l="1"/>
  <c r="D212" i="122" l="1"/>
  <c r="F212" i="122" s="1"/>
  <c r="D120" i="81"/>
  <c r="I41" i="90"/>
  <c r="D135" i="120" s="1"/>
  <c r="F135" i="120" s="1"/>
  <c r="H44" i="90"/>
  <c r="G44" i="90"/>
  <c r="F44" i="90"/>
  <c r="E44" i="90"/>
  <c r="D44" i="90"/>
  <c r="D136" i="81" l="1"/>
  <c r="D148" i="116"/>
  <c r="D141" i="63"/>
  <c r="F141" i="63" s="1"/>
  <c r="D58" i="124"/>
  <c r="D235" i="122"/>
  <c r="D137" i="81"/>
  <c r="D59" i="124"/>
  <c r="D236" i="122"/>
  <c r="D51" i="48"/>
  <c r="D166" i="118"/>
  <c r="F166" i="118" s="1"/>
  <c r="D167" i="118"/>
  <c r="F167" i="118" s="1"/>
  <c r="D52" i="48"/>
  <c r="F52" i="48" s="1"/>
  <c r="D113" i="118"/>
  <c r="F113" i="118" s="1"/>
  <c r="D112" i="118"/>
  <c r="D184" i="92"/>
  <c r="D185" i="92"/>
  <c r="F185" i="92" s="1"/>
  <c r="D114" i="92"/>
  <c r="F114" i="92" s="1"/>
  <c r="D113" i="92"/>
  <c r="D134" i="120"/>
  <c r="D147" i="116"/>
  <c r="D140" i="63"/>
  <c r="F140" i="63" s="1"/>
  <c r="I44" i="90"/>
  <c r="D169" i="118" s="1"/>
  <c r="I49" i="90" l="1"/>
  <c r="I56" i="90"/>
  <c r="I54" i="90"/>
  <c r="I52" i="90"/>
  <c r="D247" i="122" l="1"/>
  <c r="D139" i="118"/>
  <c r="D137" i="118"/>
  <c r="D139" i="92" l="1"/>
  <c r="D137" i="92" l="1"/>
  <c r="D41" i="120" l="1"/>
  <c r="D77" i="48"/>
  <c r="D70" i="48"/>
  <c r="F204" i="118"/>
  <c r="E204" i="118"/>
  <c r="D204" i="118"/>
  <c r="F202" i="118"/>
  <c r="E202" i="118"/>
  <c r="D202" i="118"/>
  <c r="F195" i="118"/>
  <c r="E195" i="118"/>
  <c r="D195" i="118"/>
  <c r="F193" i="118"/>
  <c r="E193" i="118"/>
  <c r="D193" i="118"/>
  <c r="F186" i="118"/>
  <c r="E186" i="118"/>
  <c r="D186" i="118"/>
  <c r="D221" i="92"/>
  <c r="D219" i="92"/>
  <c r="D212" i="92"/>
  <c r="D210" i="92"/>
  <c r="D203" i="92"/>
  <c r="E154" i="120"/>
  <c r="D154" i="120"/>
  <c r="E152" i="120"/>
  <c r="D152" i="120"/>
  <c r="E150" i="120"/>
  <c r="D150" i="120"/>
  <c r="G147" i="82"/>
  <c r="E167" i="63"/>
  <c r="D167" i="63"/>
  <c r="E165" i="63"/>
  <c r="D165" i="63"/>
  <c r="E158" i="63"/>
  <c r="D158" i="63"/>
  <c r="E265" i="122"/>
  <c r="D265" i="122"/>
  <c r="E263" i="122"/>
  <c r="D263" i="122"/>
  <c r="E256" i="122"/>
  <c r="D256" i="122"/>
  <c r="E254" i="122"/>
  <c r="D254" i="122"/>
  <c r="E247" i="122"/>
  <c r="E88" i="124"/>
  <c r="D88" i="124"/>
  <c r="E86" i="124"/>
  <c r="D86" i="124"/>
  <c r="E79" i="124"/>
  <c r="D79" i="124"/>
  <c r="E77" i="124"/>
  <c r="D77" i="124"/>
  <c r="E70" i="124"/>
  <c r="D70" i="124"/>
  <c r="E177" i="116"/>
  <c r="D177" i="116"/>
  <c r="E175" i="116"/>
  <c r="D175" i="116"/>
  <c r="E168" i="116"/>
  <c r="D168" i="116"/>
  <c r="E166" i="116"/>
  <c r="D166" i="116"/>
  <c r="E159" i="116"/>
  <c r="D159" i="116"/>
  <c r="E166" i="81"/>
  <c r="D166" i="81"/>
  <c r="E164" i="81"/>
  <c r="D164" i="81"/>
  <c r="E157" i="81"/>
  <c r="D157" i="81"/>
  <c r="E155" i="81"/>
  <c r="D155" i="81"/>
  <c r="E148" i="81"/>
  <c r="D148" i="81"/>
  <c r="G18" i="107"/>
  <c r="G18" i="54"/>
  <c r="G18" i="119"/>
  <c r="G18" i="43"/>
  <c r="G18" i="121"/>
  <c r="G18" i="123"/>
  <c r="G18" i="58"/>
  <c r="G18" i="115"/>
  <c r="D149" i="118" l="1"/>
  <c r="D95" i="118"/>
  <c r="D199" i="122"/>
  <c r="D200" i="122"/>
  <c r="D209" i="122"/>
  <c r="D207" i="122"/>
  <c r="D205" i="122"/>
  <c r="D206" i="122" s="1"/>
  <c r="D203" i="122"/>
  <c r="D201" i="122"/>
  <c r="D183" i="122"/>
  <c r="D184" i="122" s="1"/>
  <c r="D96" i="92"/>
  <c r="D118" i="120"/>
  <c r="D121" i="63"/>
  <c r="D118" i="81"/>
  <c r="D220" i="122"/>
  <c r="D219" i="122"/>
  <c r="D218" i="122"/>
  <c r="D217" i="122"/>
  <c r="D216" i="122"/>
  <c r="D211" i="122"/>
  <c r="D44" i="124"/>
  <c r="D45" i="124"/>
  <c r="D46" i="124"/>
  <c r="D47" i="124"/>
  <c r="D48" i="124"/>
  <c r="D43" i="124"/>
  <c r="F43" i="124" s="1"/>
  <c r="D42" i="124"/>
  <c r="D129" i="116"/>
  <c r="D131" i="116"/>
  <c r="D132" i="116"/>
  <c r="D133" i="116"/>
  <c r="D134" i="116"/>
  <c r="D135" i="116"/>
  <c r="D130" i="116"/>
  <c r="F130" i="116" s="1"/>
  <c r="D119" i="81" l="1"/>
  <c r="F119" i="81" s="1"/>
  <c r="G17" i="117" l="1"/>
  <c r="G18" i="117"/>
  <c r="F30" i="82" l="1"/>
  <c r="H126" i="82"/>
  <c r="F34" i="48" s="1"/>
  <c r="D121" i="81"/>
  <c r="D122" i="81"/>
  <c r="D123" i="81"/>
  <c r="D124" i="81"/>
  <c r="E19" i="82"/>
  <c r="E23" i="82"/>
  <c r="D23" i="82"/>
  <c r="D53" i="90" l="1"/>
  <c r="E53" i="90"/>
  <c r="F53" i="90"/>
  <c r="G53" i="90"/>
  <c r="H53" i="90"/>
  <c r="F167" i="92"/>
  <c r="F95" i="118"/>
  <c r="F121" i="63"/>
  <c r="F129" i="116"/>
  <c r="F96" i="92"/>
  <c r="F118" i="120"/>
  <c r="F118" i="81"/>
  <c r="F211" i="122"/>
  <c r="F149" i="118"/>
  <c r="F42" i="124"/>
  <c r="D133" i="118"/>
  <c r="D132" i="118"/>
  <c r="F185" i="118" s="1"/>
  <c r="I53" i="90" l="1"/>
  <c r="D50" i="48" s="1"/>
  <c r="E132" i="118"/>
  <c r="F201" i="118"/>
  <c r="F187" i="118"/>
  <c r="F192" i="118"/>
  <c r="E133" i="118"/>
  <c r="D134" i="118"/>
  <c r="E134" i="118" s="1"/>
  <c r="D183" i="92" l="1"/>
  <c r="F183" i="92" s="1"/>
  <c r="D165" i="118"/>
  <c r="F165" i="118" s="1"/>
  <c r="D229" i="122"/>
  <c r="F229" i="122" s="1"/>
  <c r="D133" i="81"/>
  <c r="F133" i="81" s="1"/>
  <c r="D111" i="118"/>
  <c r="F111" i="118" s="1"/>
  <c r="D144" i="116"/>
  <c r="F144" i="116" s="1"/>
  <c r="D112" i="92"/>
  <c r="F112" i="92" s="1"/>
  <c r="D55" i="124"/>
  <c r="F55" i="124" s="1"/>
  <c r="D131" i="120"/>
  <c r="F131" i="120" s="1"/>
  <c r="F50" i="48"/>
  <c r="D137" i="63"/>
  <c r="F137" i="63" s="1"/>
  <c r="F196" i="118"/>
  <c r="F194" i="118"/>
  <c r="F205" i="118"/>
  <c r="F203" i="118"/>
  <c r="D45" i="82"/>
  <c r="G51" i="90" l="1"/>
  <c r="D66" i="90"/>
  <c r="D107" i="81"/>
  <c r="C23" i="59" l="1"/>
  <c r="C55" i="59"/>
  <c r="C43" i="59"/>
  <c r="C42" i="59"/>
  <c r="C72" i="59"/>
  <c r="C71" i="59"/>
  <c r="C70" i="59"/>
  <c r="C69" i="59"/>
  <c r="C68" i="59"/>
  <c r="C67" i="59"/>
  <c r="C66" i="59"/>
  <c r="C65" i="59"/>
  <c r="C64" i="59"/>
  <c r="C63" i="59"/>
  <c r="C62" i="59"/>
  <c r="C61" i="59"/>
  <c r="C60" i="59"/>
  <c r="C59" i="59"/>
  <c r="C58" i="59"/>
  <c r="C57" i="59"/>
  <c r="C56" i="59"/>
  <c r="E55" i="59"/>
  <c r="D55" i="59"/>
  <c r="E54" i="59"/>
  <c r="D54" i="59"/>
  <c r="C54" i="59"/>
  <c r="E53" i="59"/>
  <c r="D53" i="59"/>
  <c r="C53" i="59"/>
  <c r="C5" i="59"/>
  <c r="C48" i="59" l="1"/>
  <c r="C47" i="59"/>
  <c r="C46" i="59"/>
  <c r="C45" i="59"/>
  <c r="C44" i="59"/>
  <c r="C41" i="59"/>
  <c r="C40" i="59"/>
  <c r="C39" i="59"/>
  <c r="C38" i="59"/>
  <c r="C37" i="59"/>
  <c r="C36" i="59"/>
  <c r="C35" i="59"/>
  <c r="C34" i="59"/>
  <c r="C33" i="59"/>
  <c r="C32" i="59"/>
  <c r="E31" i="59"/>
  <c r="D31" i="59"/>
  <c r="C31" i="59"/>
  <c r="E30" i="59"/>
  <c r="D30" i="59"/>
  <c r="C30" i="59"/>
  <c r="E29" i="59"/>
  <c r="D29" i="59"/>
  <c r="C29" i="59"/>
  <c r="C24" i="59"/>
  <c r="C21" i="59"/>
  <c r="C20" i="59"/>
  <c r="C19" i="59"/>
  <c r="C18" i="59"/>
  <c r="C17" i="59"/>
  <c r="C16" i="59"/>
  <c r="C15" i="59"/>
  <c r="C14" i="59"/>
  <c r="C13" i="59"/>
  <c r="C12" i="59"/>
  <c r="C11" i="59"/>
  <c r="C10" i="59"/>
  <c r="C9" i="59"/>
  <c r="C8" i="59"/>
  <c r="E7" i="59" l="1"/>
  <c r="E6" i="59"/>
  <c r="D7" i="59"/>
  <c r="D6" i="59"/>
  <c r="E5" i="59"/>
  <c r="D5" i="59"/>
  <c r="C22" i="59"/>
  <c r="D98" i="116" l="1"/>
  <c r="D40" i="124" l="1"/>
  <c r="D41" i="124" s="1"/>
  <c r="D38" i="124"/>
  <c r="D36" i="124"/>
  <c r="D37" i="124" s="1"/>
  <c r="D34" i="124"/>
  <c r="D35" i="124" s="1"/>
  <c r="D32" i="124"/>
  <c r="D30" i="124"/>
  <c r="D29" i="124"/>
  <c r="D28" i="124"/>
  <c r="D27" i="124"/>
  <c r="F27" i="124" s="1"/>
  <c r="D15" i="124"/>
  <c r="E15" i="124" s="1"/>
  <c r="D18" i="124"/>
  <c r="D19" i="124" s="1"/>
  <c r="F34" i="124" l="1"/>
  <c r="D33" i="124"/>
  <c r="D20" i="124"/>
  <c r="F20" i="124" s="1"/>
  <c r="D39" i="124"/>
  <c r="D98" i="63"/>
  <c r="D97" i="63"/>
  <c r="D96" i="63"/>
  <c r="D95" i="63"/>
  <c r="D98" i="120"/>
  <c r="D97" i="120"/>
  <c r="D96" i="120"/>
  <c r="D95" i="120"/>
  <c r="D21" i="124" l="1"/>
  <c r="D45" i="48"/>
  <c r="D46" i="48" s="1"/>
  <c r="D43" i="48"/>
  <c r="D44" i="48" s="1"/>
  <c r="D41" i="48"/>
  <c r="D42" i="48" s="1"/>
  <c r="D39" i="48"/>
  <c r="D40" i="48" s="1"/>
  <c r="D37" i="48"/>
  <c r="D38" i="48" s="1"/>
  <c r="D36" i="48"/>
  <c r="D35" i="48"/>
  <c r="F35" i="48" s="1"/>
  <c r="D28" i="48"/>
  <c r="D29" i="48"/>
  <c r="D30" i="48"/>
  <c r="D31" i="48"/>
  <c r="D27" i="48"/>
  <c r="D24" i="48"/>
  <c r="D25" i="48" s="1"/>
  <c r="D22" i="48"/>
  <c r="D23" i="48" s="1"/>
  <c r="D20" i="48"/>
  <c r="D21" i="48" s="1"/>
  <c r="D18" i="48"/>
  <c r="D19" i="48" s="1"/>
  <c r="D16" i="48"/>
  <c r="D17" i="48" s="1"/>
  <c r="D13" i="48"/>
  <c r="E13" i="48" s="1"/>
  <c r="D12" i="48"/>
  <c r="E12" i="48" s="1"/>
  <c r="H31" i="96"/>
  <c r="D76" i="48" l="1"/>
  <c r="D78" i="48" s="1"/>
  <c r="D69" i="48"/>
  <c r="F12" i="48"/>
  <c r="H52" i="48" s="1"/>
  <c r="F13" i="48"/>
  <c r="F45" i="48"/>
  <c r="H34" i="48" l="1"/>
  <c r="H50" i="48"/>
  <c r="H45" i="48"/>
  <c r="H43" i="48"/>
  <c r="H41" i="48"/>
  <c r="H35" i="48"/>
  <c r="D71" i="48"/>
  <c r="H18" i="48"/>
  <c r="H16" i="48"/>
  <c r="H20" i="48"/>
  <c r="H22" i="48"/>
  <c r="H24" i="48"/>
  <c r="CB14" i="48"/>
  <c r="CC14" i="48" s="1"/>
  <c r="CD14" i="48" s="1"/>
  <c r="BZ10" i="48" s="1"/>
  <c r="E133" i="92" l="1"/>
  <c r="D151" i="92"/>
  <c r="D149" i="92"/>
  <c r="D147" i="92"/>
  <c r="D141" i="92"/>
  <c r="H105" i="82"/>
  <c r="K144" i="92" s="1"/>
  <c r="E18" i="82"/>
  <c r="E22" i="82"/>
  <c r="E21" i="82"/>
  <c r="O144" i="92" l="1"/>
  <c r="D145" i="92"/>
  <c r="D143" i="92"/>
  <c r="H103" i="82"/>
  <c r="K142" i="92" s="1"/>
  <c r="H104" i="82"/>
  <c r="K140" i="92" s="1"/>
  <c r="H120" i="82"/>
  <c r="H102" i="82"/>
  <c r="H70" i="82"/>
  <c r="E142" i="122"/>
  <c r="D210" i="122"/>
  <c r="F203" i="122"/>
  <c r="D191" i="122"/>
  <c r="D190" i="122"/>
  <c r="D189" i="122"/>
  <c r="D188" i="122"/>
  <c r="E179" i="122"/>
  <c r="E178" i="122"/>
  <c r="E177" i="122"/>
  <c r="E176" i="122"/>
  <c r="E175" i="122"/>
  <c r="E174" i="122"/>
  <c r="E150" i="122"/>
  <c r="E149" i="122"/>
  <c r="E148" i="122"/>
  <c r="E147" i="122"/>
  <c r="E146" i="122"/>
  <c r="D120" i="122"/>
  <c r="E118" i="122"/>
  <c r="E117" i="122"/>
  <c r="E116" i="122"/>
  <c r="E115" i="122"/>
  <c r="E114" i="122"/>
  <c r="E113" i="122"/>
  <c r="E112" i="122"/>
  <c r="E111" i="122"/>
  <c r="E110" i="122"/>
  <c r="E109" i="122"/>
  <c r="E108" i="122"/>
  <c r="E107" i="122"/>
  <c r="E106" i="122"/>
  <c r="E105" i="122"/>
  <c r="E104" i="122"/>
  <c r="E103" i="122"/>
  <c r="E102" i="122"/>
  <c r="E101" i="122"/>
  <c r="E100" i="122"/>
  <c r="E99" i="122"/>
  <c r="E96" i="122"/>
  <c r="D92" i="122"/>
  <c r="D43" i="122"/>
  <c r="E68" i="122"/>
  <c r="O140" i="92" l="1"/>
  <c r="O142" i="92"/>
  <c r="F116" i="122"/>
  <c r="E94" i="122"/>
  <c r="E134" i="122" s="1"/>
  <c r="H32" i="96"/>
  <c r="H49" i="96" s="1"/>
  <c r="E42" i="96"/>
  <c r="E40" i="96"/>
  <c r="E20" i="122"/>
  <c r="E24" i="122"/>
  <c r="E36" i="122"/>
  <c r="F36" i="122" s="1"/>
  <c r="E64" i="122"/>
  <c r="E28" i="122"/>
  <c r="E32" i="122"/>
  <c r="F142" i="122"/>
  <c r="D197" i="122"/>
  <c r="F197" i="122" s="1"/>
  <c r="D195" i="122"/>
  <c r="D193" i="122"/>
  <c r="F193" i="122" s="1"/>
  <c r="D198" i="122"/>
  <c r="D196" i="122"/>
  <c r="D194" i="122"/>
  <c r="F194" i="122" s="1"/>
  <c r="D14" i="122"/>
  <c r="E66" i="122"/>
  <c r="E39" i="122"/>
  <c r="E21" i="122"/>
  <c r="E25" i="122"/>
  <c r="E29" i="122"/>
  <c r="E33" i="122"/>
  <c r="E37" i="122"/>
  <c r="E40" i="122"/>
  <c r="E69" i="122"/>
  <c r="E22" i="122"/>
  <c r="E26" i="122"/>
  <c r="E30" i="122"/>
  <c r="E34" i="122"/>
  <c r="E65" i="122"/>
  <c r="E19" i="122"/>
  <c r="E23" i="122"/>
  <c r="E27" i="122"/>
  <c r="E31" i="122"/>
  <c r="E35" i="122"/>
  <c r="E61" i="122"/>
  <c r="F61" i="122" s="1"/>
  <c r="E67" i="122"/>
  <c r="D204" i="122"/>
  <c r="D208" i="122"/>
  <c r="D202" i="122"/>
  <c r="H48" i="96" l="1"/>
  <c r="E41" i="122"/>
  <c r="F64" i="122"/>
  <c r="E125" i="122"/>
  <c r="E136" i="122"/>
  <c r="E121" i="122"/>
  <c r="E123" i="122"/>
  <c r="E131" i="122"/>
  <c r="E137" i="122"/>
  <c r="E122" i="122"/>
  <c r="E130" i="122"/>
  <c r="E138" i="122"/>
  <c r="E133" i="122"/>
  <c r="E124" i="122"/>
  <c r="E127" i="122"/>
  <c r="E126" i="122"/>
  <c r="E129" i="122"/>
  <c r="E128" i="122"/>
  <c r="E132" i="122"/>
  <c r="E135" i="122"/>
  <c r="H33" i="96"/>
  <c r="E16" i="122"/>
  <c r="E47" i="122" s="1"/>
  <c r="E32" i="96"/>
  <c r="E38" i="122"/>
  <c r="D115" i="63"/>
  <c r="D116" i="63"/>
  <c r="D117" i="63"/>
  <c r="D118" i="63"/>
  <c r="D114" i="63"/>
  <c r="D115" i="120"/>
  <c r="I31" i="96"/>
  <c r="G31" i="96"/>
  <c r="D121" i="120"/>
  <c r="F121" i="120" s="1"/>
  <c r="D132" i="63"/>
  <c r="D133" i="63" s="1"/>
  <c r="D130" i="63"/>
  <c r="D131" i="63" s="1"/>
  <c r="E67" i="120"/>
  <c r="F112" i="120"/>
  <c r="F108" i="120"/>
  <c r="E63" i="120"/>
  <c r="F63" i="120" s="1"/>
  <c r="D126" i="120"/>
  <c r="D124" i="120"/>
  <c r="D122" i="120"/>
  <c r="D120" i="120"/>
  <c r="D119" i="120"/>
  <c r="F119" i="120" s="1"/>
  <c r="D106" i="120"/>
  <c r="D103" i="120"/>
  <c r="D102" i="120"/>
  <c r="F102" i="120" s="1"/>
  <c r="D99" i="120"/>
  <c r="E99" i="120" s="1"/>
  <c r="E98" i="120"/>
  <c r="E97" i="120"/>
  <c r="E96" i="120"/>
  <c r="E95" i="120"/>
  <c r="D94" i="120"/>
  <c r="E94" i="120" s="1"/>
  <c r="E69" i="120"/>
  <c r="E66" i="120"/>
  <c r="F66" i="120" s="1"/>
  <c r="E39" i="120"/>
  <c r="E38" i="120"/>
  <c r="E37" i="120"/>
  <c r="F37" i="120" s="1"/>
  <c r="E36" i="120"/>
  <c r="E35" i="120"/>
  <c r="E34" i="120"/>
  <c r="E33" i="120"/>
  <c r="E32" i="120"/>
  <c r="E31" i="120"/>
  <c r="E30" i="120"/>
  <c r="E29" i="120"/>
  <c r="E28" i="120"/>
  <c r="E27" i="120"/>
  <c r="E26" i="120"/>
  <c r="E25" i="120"/>
  <c r="E24" i="120"/>
  <c r="E23" i="120"/>
  <c r="E22" i="120"/>
  <c r="E21" i="120"/>
  <c r="E20" i="120"/>
  <c r="E17" i="120"/>
  <c r="D13" i="120"/>
  <c r="E15" i="120" s="1"/>
  <c r="E41" i="96" l="1"/>
  <c r="E49" i="96"/>
  <c r="E48" i="96"/>
  <c r="E44" i="122"/>
  <c r="E53" i="122"/>
  <c r="E52" i="122"/>
  <c r="E49" i="122"/>
  <c r="E55" i="122"/>
  <c r="E46" i="122"/>
  <c r="E56" i="122"/>
  <c r="E45" i="122"/>
  <c r="E54" i="122"/>
  <c r="E97" i="122"/>
  <c r="E120" i="122"/>
  <c r="E51" i="122"/>
  <c r="E57" i="122"/>
  <c r="E50" i="122"/>
  <c r="H56" i="96"/>
  <c r="H57" i="96"/>
  <c r="E48" i="122"/>
  <c r="I32" i="96"/>
  <c r="D127" i="120"/>
  <c r="D123" i="120"/>
  <c r="E56" i="120"/>
  <c r="E44" i="120"/>
  <c r="E52" i="120"/>
  <c r="E48" i="120"/>
  <c r="E18" i="120"/>
  <c r="E45" i="120"/>
  <c r="E49" i="120"/>
  <c r="E53" i="120"/>
  <c r="E57" i="120"/>
  <c r="E42" i="120"/>
  <c r="E46" i="120"/>
  <c r="E50" i="120"/>
  <c r="E54" i="120"/>
  <c r="E58" i="120"/>
  <c r="E43" i="120"/>
  <c r="E47" i="120"/>
  <c r="E51" i="120"/>
  <c r="E55" i="120"/>
  <c r="E59" i="120"/>
  <c r="D125" i="120"/>
  <c r="I33" i="96" l="1"/>
  <c r="I48" i="96"/>
  <c r="I49" i="96"/>
  <c r="H58" i="96"/>
  <c r="D153" i="122" s="1"/>
  <c r="E43" i="122"/>
  <c r="E41" i="120"/>
  <c r="K31" i="96" l="1"/>
  <c r="J31" i="96"/>
  <c r="E47" i="118"/>
  <c r="F47" i="118" s="1"/>
  <c r="D160" i="118"/>
  <c r="F160" i="118" s="1"/>
  <c r="D158" i="118"/>
  <c r="D159" i="118" s="1"/>
  <c r="D156" i="118"/>
  <c r="D154" i="118"/>
  <c r="D152" i="118"/>
  <c r="D153" i="118" s="1"/>
  <c r="D151" i="118"/>
  <c r="D146" i="118"/>
  <c r="D145" i="118"/>
  <c r="D144" i="118"/>
  <c r="D143" i="118"/>
  <c r="D142" i="118"/>
  <c r="D141" i="118"/>
  <c r="F141" i="118" s="1"/>
  <c r="D131" i="118"/>
  <c r="D130" i="118"/>
  <c r="D106" i="118"/>
  <c r="D107" i="118" s="1"/>
  <c r="D104" i="118"/>
  <c r="D105" i="118" s="1"/>
  <c r="D102" i="118"/>
  <c r="D100" i="118"/>
  <c r="D98" i="118"/>
  <c r="D99" i="118" s="1"/>
  <c r="D97" i="118"/>
  <c r="F96" i="118"/>
  <c r="D92" i="118"/>
  <c r="D91" i="118"/>
  <c r="D90" i="118"/>
  <c r="D89" i="118"/>
  <c r="D88" i="118"/>
  <c r="D86" i="118"/>
  <c r="D81" i="118"/>
  <c r="D80" i="118"/>
  <c r="F80" i="118" s="1"/>
  <c r="D77" i="118"/>
  <c r="E77" i="118" s="1"/>
  <c r="D76" i="118"/>
  <c r="E76" i="118" s="1"/>
  <c r="E55" i="118"/>
  <c r="E54" i="118"/>
  <c r="E53" i="118"/>
  <c r="E52" i="118"/>
  <c r="E51" i="118"/>
  <c r="E50" i="118"/>
  <c r="E43" i="118"/>
  <c r="E42" i="118"/>
  <c r="E41" i="118"/>
  <c r="E39" i="118"/>
  <c r="E38" i="118"/>
  <c r="E37" i="118"/>
  <c r="F37" i="118" s="1"/>
  <c r="E36" i="118"/>
  <c r="E35" i="118"/>
  <c r="E34" i="118"/>
  <c r="E33" i="118"/>
  <c r="E32" i="118"/>
  <c r="E31" i="118"/>
  <c r="E30" i="118"/>
  <c r="E29" i="118"/>
  <c r="E28" i="118"/>
  <c r="E27" i="118"/>
  <c r="E26" i="118"/>
  <c r="E25" i="118"/>
  <c r="E24" i="118"/>
  <c r="E23" i="118"/>
  <c r="E22" i="118"/>
  <c r="E21" i="118"/>
  <c r="E20" i="118"/>
  <c r="E18" i="118"/>
  <c r="D14" i="118"/>
  <c r="K32" i="96" s="1"/>
  <c r="D128" i="63"/>
  <c r="D129" i="63" s="1"/>
  <c r="D126" i="63"/>
  <c r="D127" i="63" s="1"/>
  <c r="D124" i="63"/>
  <c r="D125" i="63" s="1"/>
  <c r="D123" i="63"/>
  <c r="D122" i="63"/>
  <c r="F122" i="63" s="1"/>
  <c r="F111" i="63"/>
  <c r="F107" i="63"/>
  <c r="D103" i="63"/>
  <c r="D102" i="63"/>
  <c r="F102" i="63" s="1"/>
  <c r="D106" i="63"/>
  <c r="F50" i="118" l="1"/>
  <c r="D192" i="118"/>
  <c r="D196" i="118" s="1"/>
  <c r="D185" i="118"/>
  <c r="D187" i="118" s="1"/>
  <c r="E131" i="118"/>
  <c r="E192" i="118"/>
  <c r="E185" i="118"/>
  <c r="E187" i="118" s="1"/>
  <c r="E201" i="118"/>
  <c r="K49" i="96"/>
  <c r="K33" i="96"/>
  <c r="K48" i="96"/>
  <c r="D157" i="118"/>
  <c r="F106" i="118"/>
  <c r="E16" i="118"/>
  <c r="D103" i="118"/>
  <c r="F77" i="118"/>
  <c r="D101" i="118"/>
  <c r="D201" i="118"/>
  <c r="D155" i="118"/>
  <c r="D161" i="118"/>
  <c r="F132" i="63"/>
  <c r="D194" i="118" l="1"/>
  <c r="E196" i="118"/>
  <c r="E194" i="118"/>
  <c r="E205" i="118"/>
  <c r="E203" i="118"/>
  <c r="K57" i="96"/>
  <c r="K56" i="96"/>
  <c r="K52" i="96"/>
  <c r="K53" i="96"/>
  <c r="CB135" i="118"/>
  <c r="CC135" i="118" s="1"/>
  <c r="CD135" i="118" s="1"/>
  <c r="F76" i="118"/>
  <c r="D205" i="118"/>
  <c r="D203" i="118"/>
  <c r="K54" i="96" l="1"/>
  <c r="D57" i="118" s="1"/>
  <c r="K58" i="96"/>
  <c r="D58" i="118" s="1"/>
  <c r="CB78" i="118"/>
  <c r="CC83" i="118" l="1"/>
  <c r="E68" i="63" l="1"/>
  <c r="E69" i="63"/>
  <c r="E70" i="63"/>
  <c r="E71" i="63"/>
  <c r="E67" i="63"/>
  <c r="E66" i="63"/>
  <c r="F66" i="63" s="1"/>
  <c r="E63" i="63"/>
  <c r="D41" i="63"/>
  <c r="E24" i="63"/>
  <c r="E25" i="63"/>
  <c r="E26" i="63"/>
  <c r="E27" i="63"/>
  <c r="E28" i="63"/>
  <c r="E29" i="63"/>
  <c r="E30" i="63"/>
  <c r="E31" i="63"/>
  <c r="E32" i="63"/>
  <c r="E33" i="63"/>
  <c r="E34" i="63"/>
  <c r="E35" i="63"/>
  <c r="E36" i="63"/>
  <c r="E37" i="63"/>
  <c r="F37" i="63" s="1"/>
  <c r="E38" i="63"/>
  <c r="E23" i="63"/>
  <c r="E21" i="63"/>
  <c r="E22" i="63"/>
  <c r="E20" i="63"/>
  <c r="D13" i="63"/>
  <c r="G32" i="96" s="1"/>
  <c r="D127" i="116"/>
  <c r="D128" i="116" s="1"/>
  <c r="D125" i="116"/>
  <c r="D126" i="116" s="1"/>
  <c r="D123" i="116"/>
  <c r="D121" i="116"/>
  <c r="D119" i="116"/>
  <c r="D117" i="116"/>
  <c r="D115" i="116"/>
  <c r="D114" i="116"/>
  <c r="D113" i="116"/>
  <c r="D112" i="116"/>
  <c r="F112" i="116" s="1"/>
  <c r="D110" i="116"/>
  <c r="F102" i="116"/>
  <c r="D99" i="116"/>
  <c r="D100" i="116" s="1"/>
  <c r="D95" i="116"/>
  <c r="D94" i="116"/>
  <c r="E94" i="116" s="1"/>
  <c r="D93" i="116"/>
  <c r="D42" i="116"/>
  <c r="E64" i="116"/>
  <c r="H52" i="96" l="1"/>
  <c r="D122" i="116"/>
  <c r="E18" i="116"/>
  <c r="E35" i="116"/>
  <c r="F35" i="116" s="1"/>
  <c r="E19" i="116"/>
  <c r="E21" i="116"/>
  <c r="E26" i="116"/>
  <c r="E25" i="116"/>
  <c r="E39" i="116"/>
  <c r="E27" i="116"/>
  <c r="E67" i="116"/>
  <c r="D42" i="96"/>
  <c r="E29" i="116"/>
  <c r="E33" i="116"/>
  <c r="D40" i="96"/>
  <c r="D103" i="116"/>
  <c r="G48" i="96"/>
  <c r="E34" i="116"/>
  <c r="E65" i="116"/>
  <c r="F121" i="116"/>
  <c r="E22" i="116"/>
  <c r="F63" i="63"/>
  <c r="G33" i="96"/>
  <c r="G34" i="96" s="1"/>
  <c r="G36" i="96" s="1"/>
  <c r="E20" i="116"/>
  <c r="E28" i="116"/>
  <c r="E36" i="116"/>
  <c r="E66" i="116"/>
  <c r="D13" i="116"/>
  <c r="D124" i="116"/>
  <c r="E60" i="116"/>
  <c r="F60" i="116" s="1"/>
  <c r="E68" i="116"/>
  <c r="E30" i="116"/>
  <c r="E23" i="116"/>
  <c r="E31" i="116"/>
  <c r="E38" i="116"/>
  <c r="E24" i="116"/>
  <c r="E32" i="116"/>
  <c r="E63" i="116"/>
  <c r="D120" i="116"/>
  <c r="E40" i="116" l="1"/>
  <c r="F63" i="116"/>
  <c r="H53" i="96"/>
  <c r="H54" i="96" s="1"/>
  <c r="D152" i="122" s="1"/>
  <c r="I56" i="96"/>
  <c r="I57" i="96"/>
  <c r="E15" i="116"/>
  <c r="E43" i="116" s="1"/>
  <c r="D32" i="96"/>
  <c r="D49" i="96" s="1"/>
  <c r="E37" i="116"/>
  <c r="I52" i="96"/>
  <c r="I53" i="96"/>
  <c r="G52" i="96"/>
  <c r="G53" i="96"/>
  <c r="E56" i="116" l="1"/>
  <c r="E48" i="116"/>
  <c r="E51" i="116"/>
  <c r="E46" i="116"/>
  <c r="E54" i="116"/>
  <c r="E53" i="116"/>
  <c r="E44" i="116"/>
  <c r="E52" i="116"/>
  <c r="I54" i="96"/>
  <c r="D71" i="120" s="1"/>
  <c r="I58" i="96"/>
  <c r="D72" i="120" s="1"/>
  <c r="E47" i="116"/>
  <c r="E55" i="116"/>
  <c r="E45" i="116"/>
  <c r="E50" i="116"/>
  <c r="D48" i="96"/>
  <c r="D41" i="96"/>
  <c r="E49" i="116"/>
  <c r="G54" i="96"/>
  <c r="E152" i="122" s="1"/>
  <c r="F152" i="122" s="1"/>
  <c r="E42" i="116" l="1"/>
  <c r="D73" i="63"/>
  <c r="E71" i="120"/>
  <c r="F71" i="120" s="1"/>
  <c r="E72" i="120"/>
  <c r="F72" i="120" s="1"/>
  <c r="D179" i="92" l="1"/>
  <c r="D177" i="92"/>
  <c r="D175" i="92"/>
  <c r="D173" i="92"/>
  <c r="D171" i="92"/>
  <c r="F158" i="92"/>
  <c r="D156" i="92"/>
  <c r="D157" i="92"/>
  <c r="E132" i="92"/>
  <c r="H51" i="90"/>
  <c r="D82" i="92"/>
  <c r="D81" i="92"/>
  <c r="F81" i="92" s="1"/>
  <c r="D107" i="92"/>
  <c r="D108" i="92" s="1"/>
  <c r="D105" i="92"/>
  <c r="D106" i="92" s="1"/>
  <c r="D103" i="92"/>
  <c r="D104" i="92" s="1"/>
  <c r="D101" i="92"/>
  <c r="D102" i="92" s="1"/>
  <c r="D99" i="92"/>
  <c r="D100" i="92" s="1"/>
  <c r="D97" i="92"/>
  <c r="F97" i="92" s="1"/>
  <c r="D77" i="92"/>
  <c r="H72" i="92" s="1"/>
  <c r="D53" i="96"/>
  <c r="D52" i="96"/>
  <c r="E40" i="92"/>
  <c r="E39" i="92"/>
  <c r="E38" i="92"/>
  <c r="F38" i="92" s="1"/>
  <c r="E37" i="92"/>
  <c r="E36" i="92"/>
  <c r="E35" i="92"/>
  <c r="E34" i="92"/>
  <c r="E33" i="92"/>
  <c r="E32" i="92"/>
  <c r="E31" i="92"/>
  <c r="E30" i="92"/>
  <c r="E29" i="92"/>
  <c r="E28" i="92"/>
  <c r="E27" i="92"/>
  <c r="E26" i="92"/>
  <c r="E25" i="92"/>
  <c r="E24" i="92"/>
  <c r="E22" i="92"/>
  <c r="E23" i="92"/>
  <c r="E21" i="92"/>
  <c r="E48" i="92"/>
  <c r="F48" i="92" s="1"/>
  <c r="I38" i="90"/>
  <c r="I39" i="90"/>
  <c r="I40" i="90"/>
  <c r="I50" i="90"/>
  <c r="I45" i="90"/>
  <c r="I47" i="90"/>
  <c r="I37" i="90"/>
  <c r="D223" i="122" s="1"/>
  <c r="I36" i="90"/>
  <c r="H124" i="82"/>
  <c r="D116" i="81"/>
  <c r="D114" i="81"/>
  <c r="D115" i="81" s="1"/>
  <c r="D112" i="81"/>
  <c r="D113" i="81" s="1"/>
  <c r="D110" i="81"/>
  <c r="D111" i="81" s="1"/>
  <c r="D108" i="81"/>
  <c r="D109" i="81" s="1"/>
  <c r="D106" i="81"/>
  <c r="F20" i="82"/>
  <c r="E130" i="118" s="1"/>
  <c r="F28" i="82"/>
  <c r="F15" i="82"/>
  <c r="F16" i="82"/>
  <c r="F29" i="82"/>
  <c r="F48" i="90" s="1"/>
  <c r="D26" i="82"/>
  <c r="D15" i="82"/>
  <c r="D171" i="122" s="1"/>
  <c r="D16" i="82"/>
  <c r="D172" i="122" s="1"/>
  <c r="D29" i="82"/>
  <c r="E68" i="120" s="1"/>
  <c r="D165" i="92" l="1"/>
  <c r="D181" i="92" s="1"/>
  <c r="D214" i="122"/>
  <c r="E46" i="92"/>
  <c r="D94" i="92"/>
  <c r="E61" i="120"/>
  <c r="E77" i="92"/>
  <c r="F57" i="90"/>
  <c r="G57" i="90"/>
  <c r="H57" i="90"/>
  <c r="D57" i="90"/>
  <c r="E57" i="90"/>
  <c r="H55" i="90"/>
  <c r="D55" i="90"/>
  <c r="E55" i="90"/>
  <c r="F55" i="90"/>
  <c r="G55" i="90"/>
  <c r="D117" i="81"/>
  <c r="D132" i="81"/>
  <c r="F132" i="81" s="1"/>
  <c r="F133" i="118"/>
  <c r="F132" i="118"/>
  <c r="J138" i="118" s="1"/>
  <c r="F134" i="118"/>
  <c r="F131" i="118"/>
  <c r="I138" i="118" s="1"/>
  <c r="F130" i="118"/>
  <c r="H138" i="118" s="1"/>
  <c r="D58" i="48"/>
  <c r="F58" i="48" s="1"/>
  <c r="H58" i="48" s="1"/>
  <c r="D54" i="124"/>
  <c r="F54" i="124" s="1"/>
  <c r="F39" i="48"/>
  <c r="H39" i="48" s="1"/>
  <c r="F38" i="124"/>
  <c r="D57" i="48"/>
  <c r="F57" i="48" s="1"/>
  <c r="H57" i="48" s="1"/>
  <c r="D53" i="124"/>
  <c r="F53" i="124" s="1"/>
  <c r="E50" i="92"/>
  <c r="F50" i="92" s="1"/>
  <c r="D14" i="124"/>
  <c r="D54" i="48"/>
  <c r="F54" i="48" s="1"/>
  <c r="H54" i="48" s="1"/>
  <c r="D50" i="124"/>
  <c r="F50" i="124" s="1"/>
  <c r="D137" i="116"/>
  <c r="F137" i="116" s="1"/>
  <c r="D139" i="116"/>
  <c r="F139" i="116" s="1"/>
  <c r="D56" i="48"/>
  <c r="F56" i="48" s="1"/>
  <c r="H56" i="48" s="1"/>
  <c r="D52" i="124"/>
  <c r="F52" i="124" s="1"/>
  <c r="E49" i="92"/>
  <c r="F49" i="92" s="1"/>
  <c r="D13" i="124"/>
  <c r="D69" i="124" s="1"/>
  <c r="D55" i="48"/>
  <c r="F55" i="48" s="1"/>
  <c r="H55" i="48" s="1"/>
  <c r="D51" i="124"/>
  <c r="F51" i="124" s="1"/>
  <c r="D138" i="116"/>
  <c r="F138" i="116" s="1"/>
  <c r="D140" i="116"/>
  <c r="F140" i="116" s="1"/>
  <c r="D32" i="48"/>
  <c r="D54" i="96"/>
  <c r="D70" i="116" s="1"/>
  <c r="D91" i="81"/>
  <c r="E91" i="81" s="1"/>
  <c r="D92" i="81"/>
  <c r="E147" i="81" s="1"/>
  <c r="E149" i="81" s="1"/>
  <c r="G48" i="90"/>
  <c r="D48" i="90"/>
  <c r="E48" i="90"/>
  <c r="E144" i="122"/>
  <c r="F144" i="122" s="1"/>
  <c r="E63" i="122"/>
  <c r="E65" i="120"/>
  <c r="F65" i="120" s="1"/>
  <c r="D93" i="120"/>
  <c r="E49" i="118"/>
  <c r="F49" i="118" s="1"/>
  <c r="D93" i="63"/>
  <c r="E164" i="63" s="1"/>
  <c r="E62" i="116"/>
  <c r="F62" i="116" s="1"/>
  <c r="D92" i="116"/>
  <c r="E65" i="63"/>
  <c r="F65" i="63" s="1"/>
  <c r="H48" i="90"/>
  <c r="E143" i="122"/>
  <c r="F143" i="122" s="1"/>
  <c r="E62" i="122"/>
  <c r="F62" i="122" s="1"/>
  <c r="E64" i="120"/>
  <c r="F64" i="120" s="1"/>
  <c r="D92" i="120"/>
  <c r="D149" i="120" s="1"/>
  <c r="D92" i="63"/>
  <c r="D164" i="63" s="1"/>
  <c r="E48" i="118"/>
  <c r="F48" i="118" s="1"/>
  <c r="E61" i="116"/>
  <c r="F61" i="116" s="1"/>
  <c r="E64" i="63"/>
  <c r="F64" i="63" s="1"/>
  <c r="D91" i="116"/>
  <c r="E59" i="122"/>
  <c r="E140" i="122"/>
  <c r="D116" i="120"/>
  <c r="D129" i="120" s="1"/>
  <c r="F129" i="120" s="1"/>
  <c r="D93" i="118"/>
  <c r="D109" i="118" s="1"/>
  <c r="F109" i="118" s="1"/>
  <c r="D147" i="118"/>
  <c r="D163" i="118" s="1"/>
  <c r="F163" i="118" s="1"/>
  <c r="E45" i="118"/>
  <c r="D119" i="63"/>
  <c r="D135" i="63" s="1"/>
  <c r="F135" i="63" s="1"/>
  <c r="E58" i="116"/>
  <c r="E61" i="63"/>
  <c r="D222" i="122"/>
  <c r="F222" i="122" s="1"/>
  <c r="D224" i="122"/>
  <c r="F224" i="122" s="1"/>
  <c r="D228" i="122"/>
  <c r="F228" i="122" s="1"/>
  <c r="D139" i="120"/>
  <c r="F139" i="120" s="1"/>
  <c r="D225" i="122"/>
  <c r="F225" i="122" s="1"/>
  <c r="F223" i="122"/>
  <c r="D227" i="122"/>
  <c r="F227" i="122" s="1"/>
  <c r="D138" i="120"/>
  <c r="F138" i="120" s="1"/>
  <c r="D226" i="122"/>
  <c r="F226" i="122" s="1"/>
  <c r="D137" i="120"/>
  <c r="F137" i="120" s="1"/>
  <c r="F207" i="122"/>
  <c r="F124" i="120"/>
  <c r="F100" i="118"/>
  <c r="F126" i="63"/>
  <c r="F154" i="118"/>
  <c r="F125" i="116"/>
  <c r="F114" i="81"/>
  <c r="D173" i="118"/>
  <c r="F173" i="118" s="1"/>
  <c r="D118" i="118"/>
  <c r="F118" i="118" s="1"/>
  <c r="D146" i="63"/>
  <c r="F146" i="63" s="1"/>
  <c r="D142" i="116"/>
  <c r="F142" i="116" s="1"/>
  <c r="D145" i="63"/>
  <c r="F145" i="63" s="1"/>
  <c r="D117" i="118"/>
  <c r="F117" i="118" s="1"/>
  <c r="D172" i="118"/>
  <c r="F172" i="118" s="1"/>
  <c r="D141" i="116"/>
  <c r="F141" i="116" s="1"/>
  <c r="D144" i="63"/>
  <c r="F144" i="63" s="1"/>
  <c r="D171" i="118"/>
  <c r="F171" i="118" s="1"/>
  <c r="D116" i="118"/>
  <c r="F116" i="118" s="1"/>
  <c r="D143" i="63"/>
  <c r="F143" i="63" s="1"/>
  <c r="D170" i="118"/>
  <c r="F170" i="118" s="1"/>
  <c r="D115" i="118"/>
  <c r="F115" i="118" s="1"/>
  <c r="D119" i="118"/>
  <c r="F119" i="118" s="1"/>
  <c r="D174" i="118"/>
  <c r="F174" i="118" s="1"/>
  <c r="D147" i="63"/>
  <c r="F147" i="63" s="1"/>
  <c r="D143" i="116"/>
  <c r="F143" i="116" s="1"/>
  <c r="D190" i="92"/>
  <c r="F190" i="92" s="1"/>
  <c r="D187" i="92"/>
  <c r="F187" i="92" s="1"/>
  <c r="D188" i="92"/>
  <c r="F188" i="92" s="1"/>
  <c r="D189" i="92"/>
  <c r="F189" i="92" s="1"/>
  <c r="D191" i="92"/>
  <c r="F191" i="92" s="1"/>
  <c r="F178" i="92"/>
  <c r="F172" i="92"/>
  <c r="D119" i="92"/>
  <c r="F119" i="92" s="1"/>
  <c r="D120" i="92"/>
  <c r="F120" i="92" s="1"/>
  <c r="D116" i="92"/>
  <c r="D117" i="92"/>
  <c r="F117" i="92" s="1"/>
  <c r="D118" i="92"/>
  <c r="F118" i="92" s="1"/>
  <c r="F101" i="92"/>
  <c r="F107" i="92"/>
  <c r="D128" i="81"/>
  <c r="F128" i="81" s="1"/>
  <c r="D130" i="81"/>
  <c r="F130" i="81" s="1"/>
  <c r="D131" i="81"/>
  <c r="F131" i="81" s="1"/>
  <c r="D129" i="81"/>
  <c r="F129" i="81" s="1"/>
  <c r="D126" i="81"/>
  <c r="F126" i="81" s="1"/>
  <c r="D127" i="81"/>
  <c r="F127" i="81" s="1"/>
  <c r="F110" i="81"/>
  <c r="G13" i="90"/>
  <c r="E13" i="90"/>
  <c r="E11" i="90"/>
  <c r="F11" i="90"/>
  <c r="G11" i="90"/>
  <c r="H11" i="90"/>
  <c r="D11" i="90"/>
  <c r="E10" i="90"/>
  <c r="F10" i="90"/>
  <c r="G10" i="90"/>
  <c r="H10" i="90"/>
  <c r="D10" i="90"/>
  <c r="D9" i="90"/>
  <c r="E15" i="90" s="1"/>
  <c r="D7" i="90"/>
  <c r="G9" i="90"/>
  <c r="E9" i="90"/>
  <c r="G7" i="90"/>
  <c r="H7" i="90"/>
  <c r="G8" i="90"/>
  <c r="H8" i="90"/>
  <c r="F7" i="90"/>
  <c r="F8" i="90"/>
  <c r="D8" i="90"/>
  <c r="E8" i="90"/>
  <c r="I57" i="90" l="1"/>
  <c r="D232" i="122"/>
  <c r="F232" i="122" s="1"/>
  <c r="F63" i="122"/>
  <c r="J113" i="118"/>
  <c r="J166" i="118"/>
  <c r="J167" i="118"/>
  <c r="J165" i="118"/>
  <c r="I113" i="118"/>
  <c r="I167" i="118"/>
  <c r="I166" i="118"/>
  <c r="H113" i="118"/>
  <c r="H166" i="118"/>
  <c r="H167" i="118"/>
  <c r="I55" i="90"/>
  <c r="E262" i="122"/>
  <c r="E246" i="122"/>
  <c r="E248" i="122" s="1"/>
  <c r="E172" i="122"/>
  <c r="E253" i="122"/>
  <c r="E171" i="122"/>
  <c r="D262" i="122"/>
  <c r="D264" i="122" s="1"/>
  <c r="D246" i="122"/>
  <c r="D248" i="122" s="1"/>
  <c r="D253" i="122"/>
  <c r="E168" i="63"/>
  <c r="E166" i="63"/>
  <c r="D168" i="63"/>
  <c r="D166" i="63"/>
  <c r="H149" i="118"/>
  <c r="H165" i="118"/>
  <c r="I149" i="118"/>
  <c r="I165" i="118"/>
  <c r="J149" i="118"/>
  <c r="J111" i="118"/>
  <c r="J95" i="118"/>
  <c r="I95" i="118"/>
  <c r="I111" i="118"/>
  <c r="H111" i="118"/>
  <c r="H95" i="118"/>
  <c r="J115" i="118"/>
  <c r="I115" i="118"/>
  <c r="I170" i="118"/>
  <c r="J170" i="118"/>
  <c r="J117" i="118"/>
  <c r="I117" i="118"/>
  <c r="I154" i="118"/>
  <c r="J154" i="118"/>
  <c r="I49" i="118"/>
  <c r="J49" i="118"/>
  <c r="I172" i="118"/>
  <c r="J172" i="118"/>
  <c r="I100" i="118"/>
  <c r="J100" i="118"/>
  <c r="J163" i="118"/>
  <c r="I163" i="118"/>
  <c r="I150" i="118"/>
  <c r="I158" i="118"/>
  <c r="I156" i="118"/>
  <c r="I160" i="118"/>
  <c r="I141" i="118"/>
  <c r="I106" i="118"/>
  <c r="I104" i="118"/>
  <c r="I50" i="118"/>
  <c r="I80" i="118"/>
  <c r="I96" i="118"/>
  <c r="I37" i="118"/>
  <c r="I47" i="118"/>
  <c r="I102" i="118"/>
  <c r="J116" i="118"/>
  <c r="I116" i="118"/>
  <c r="J174" i="118"/>
  <c r="I174" i="118"/>
  <c r="I171" i="118"/>
  <c r="J171" i="118"/>
  <c r="J118" i="118"/>
  <c r="I118" i="118"/>
  <c r="I109" i="118"/>
  <c r="J109" i="118"/>
  <c r="J48" i="118"/>
  <c r="I48" i="118"/>
  <c r="I173" i="118"/>
  <c r="J173" i="118"/>
  <c r="J150" i="118"/>
  <c r="J158" i="118"/>
  <c r="J156" i="118"/>
  <c r="J160" i="118"/>
  <c r="J141" i="118"/>
  <c r="J80" i="118"/>
  <c r="J106" i="118"/>
  <c r="J47" i="118"/>
  <c r="J102" i="118"/>
  <c r="J104" i="118"/>
  <c r="J96" i="118"/>
  <c r="J37" i="118"/>
  <c r="J50" i="118"/>
  <c r="I119" i="118"/>
  <c r="J119" i="118"/>
  <c r="D147" i="81"/>
  <c r="D149" i="81" s="1"/>
  <c r="D85" i="124"/>
  <c r="E13" i="124"/>
  <c r="D71" i="124"/>
  <c r="D76" i="124"/>
  <c r="D26" i="124"/>
  <c r="E14" i="124"/>
  <c r="E85" i="124"/>
  <c r="E69" i="124"/>
  <c r="E71" i="124" s="1"/>
  <c r="E76" i="124"/>
  <c r="E154" i="81"/>
  <c r="E156" i="81" s="1"/>
  <c r="D48" i="48"/>
  <c r="F48" i="48" s="1"/>
  <c r="D105" i="81"/>
  <c r="D154" i="81"/>
  <c r="D158" i="81" s="1"/>
  <c r="D163" i="81"/>
  <c r="D167" i="81" s="1"/>
  <c r="E163" i="81"/>
  <c r="E167" i="81" s="1"/>
  <c r="H116" i="118"/>
  <c r="H117" i="118"/>
  <c r="H156" i="118"/>
  <c r="H158" i="118"/>
  <c r="H141" i="118"/>
  <c r="H102" i="118"/>
  <c r="H106" i="118"/>
  <c r="H150" i="118"/>
  <c r="H50" i="118"/>
  <c r="H80" i="118"/>
  <c r="H160" i="118"/>
  <c r="H104" i="118"/>
  <c r="H96" i="118"/>
  <c r="H47" i="118"/>
  <c r="H37" i="118"/>
  <c r="E174" i="116"/>
  <c r="E158" i="116"/>
  <c r="E160" i="116" s="1"/>
  <c r="E92" i="116"/>
  <c r="E165" i="116"/>
  <c r="E149" i="120"/>
  <c r="E93" i="120"/>
  <c r="H174" i="118"/>
  <c r="H115" i="118"/>
  <c r="H171" i="118"/>
  <c r="H118" i="118"/>
  <c r="H154" i="118"/>
  <c r="H48" i="118"/>
  <c r="D192" i="122"/>
  <c r="H119" i="118"/>
  <c r="H170" i="118"/>
  <c r="H173" i="118"/>
  <c r="D158" i="116"/>
  <c r="D160" i="116" s="1"/>
  <c r="D165" i="116"/>
  <c r="D111" i="116"/>
  <c r="E91" i="116"/>
  <c r="D174" i="116"/>
  <c r="D157" i="63"/>
  <c r="D159" i="63" s="1"/>
  <c r="E157" i="63"/>
  <c r="E159" i="63" s="1"/>
  <c r="H172" i="118"/>
  <c r="H100" i="118"/>
  <c r="E92" i="120"/>
  <c r="H49" i="118"/>
  <c r="G67" i="90"/>
  <c r="G68" i="90"/>
  <c r="G12" i="90"/>
  <c r="F67" i="90"/>
  <c r="F68" i="90"/>
  <c r="G17" i="90" s="1"/>
  <c r="E12" i="90"/>
  <c r="D68" i="90"/>
  <c r="E17" i="90" s="1"/>
  <c r="D67" i="90"/>
  <c r="E68" i="90"/>
  <c r="E67" i="90"/>
  <c r="H12" i="90"/>
  <c r="H67" i="90"/>
  <c r="H68" i="90"/>
  <c r="H17" i="90" s="1"/>
  <c r="H109" i="118"/>
  <c r="H163" i="118"/>
  <c r="I8" i="90"/>
  <c r="E7" i="124" s="1"/>
  <c r="I7" i="90"/>
  <c r="C7" i="124" s="1"/>
  <c r="C20" i="123" s="1"/>
  <c r="F27" i="82"/>
  <c r="D46" i="90" s="1"/>
  <c r="F25" i="82"/>
  <c r="I10" i="90" s="1"/>
  <c r="F24" i="82"/>
  <c r="F26" i="82"/>
  <c r="F17" i="82"/>
  <c r="D17" i="82"/>
  <c r="D131" i="92" s="1"/>
  <c r="D166" i="92" l="1"/>
  <c r="D215" i="122"/>
  <c r="D95" i="92"/>
  <c r="E47" i="92"/>
  <c r="I17" i="90"/>
  <c r="E82" i="122"/>
  <c r="F82" i="122" s="1"/>
  <c r="D134" i="81"/>
  <c r="F134" i="81" s="1"/>
  <c r="D132" i="120"/>
  <c r="F132" i="120" s="1"/>
  <c r="D230" i="122"/>
  <c r="F230" i="122" s="1"/>
  <c r="D138" i="63"/>
  <c r="F138" i="63" s="1"/>
  <c r="D56" i="124"/>
  <c r="F56" i="124" s="1"/>
  <c r="D145" i="116"/>
  <c r="F145" i="116" s="1"/>
  <c r="D156" i="81"/>
  <c r="E87" i="124"/>
  <c r="E89" i="124"/>
  <c r="D80" i="124"/>
  <c r="D78" i="124"/>
  <c r="F14" i="124"/>
  <c r="I32" i="124" s="1"/>
  <c r="F13" i="124"/>
  <c r="H18" i="124" s="1"/>
  <c r="F15" i="124"/>
  <c r="E80" i="124"/>
  <c r="E78" i="124"/>
  <c r="D89" i="124"/>
  <c r="D87" i="124"/>
  <c r="E158" i="81"/>
  <c r="I12" i="90"/>
  <c r="C7" i="48" s="1"/>
  <c r="C20" i="107" s="1"/>
  <c r="D33" i="48"/>
  <c r="H48" i="48"/>
  <c r="E165" i="81"/>
  <c r="D165" i="81"/>
  <c r="D176" i="116"/>
  <c r="D178" i="116"/>
  <c r="D266" i="122"/>
  <c r="E264" i="122"/>
  <c r="E266" i="122"/>
  <c r="F94" i="120"/>
  <c r="F93" i="120"/>
  <c r="I118" i="120" s="1"/>
  <c r="I11" i="90"/>
  <c r="E46" i="90"/>
  <c r="G46" i="90"/>
  <c r="H46" i="90"/>
  <c r="F46" i="90"/>
  <c r="D151" i="120"/>
  <c r="D153" i="120"/>
  <c r="D155" i="120"/>
  <c r="E255" i="122"/>
  <c r="E257" i="122"/>
  <c r="E153" i="120"/>
  <c r="E151" i="120"/>
  <c r="E155" i="120"/>
  <c r="E176" i="116"/>
  <c r="E178" i="116"/>
  <c r="F96" i="120"/>
  <c r="F99" i="120"/>
  <c r="F92" i="120"/>
  <c r="H63" i="120" s="1"/>
  <c r="F95" i="120"/>
  <c r="F97" i="120"/>
  <c r="F98" i="120"/>
  <c r="E167" i="116"/>
  <c r="E169" i="116"/>
  <c r="E141" i="122"/>
  <c r="F141" i="122" s="1"/>
  <c r="E60" i="122"/>
  <c r="F60" i="122" s="1"/>
  <c r="D117" i="120"/>
  <c r="F117" i="120" s="1"/>
  <c r="E62" i="120"/>
  <c r="F62" i="120" s="1"/>
  <c r="D148" i="118"/>
  <c r="F148" i="118" s="1"/>
  <c r="E46" i="118"/>
  <c r="F46" i="118" s="1"/>
  <c r="D94" i="118"/>
  <c r="F94" i="118" s="1"/>
  <c r="D120" i="63"/>
  <c r="F120" i="63" s="1"/>
  <c r="E62" i="63"/>
  <c r="F62" i="63" s="1"/>
  <c r="E59" i="116"/>
  <c r="F59" i="116" s="1"/>
  <c r="D169" i="116"/>
  <c r="D167" i="116"/>
  <c r="D255" i="122"/>
  <c r="D257" i="122"/>
  <c r="I67" i="90"/>
  <c r="E82" i="120" s="1"/>
  <c r="F82" i="120" s="1"/>
  <c r="C9" i="122"/>
  <c r="C21" i="121" s="1"/>
  <c r="E81" i="122"/>
  <c r="F81" i="122" s="1"/>
  <c r="E160" i="122"/>
  <c r="F160" i="122" s="1"/>
  <c r="C8" i="120"/>
  <c r="C20" i="119" s="1"/>
  <c r="E79" i="120"/>
  <c r="F79" i="120" s="1"/>
  <c r="E9" i="122"/>
  <c r="E161" i="122"/>
  <c r="F161" i="122" s="1"/>
  <c r="E8" i="120"/>
  <c r="E80" i="120"/>
  <c r="F80" i="120" s="1"/>
  <c r="I68" i="90"/>
  <c r="E83" i="120" s="1"/>
  <c r="F83" i="120" s="1"/>
  <c r="C8" i="63"/>
  <c r="C20" i="43" s="1"/>
  <c r="E65" i="118"/>
  <c r="F65" i="118" s="1"/>
  <c r="C8" i="116"/>
  <c r="C20" i="115" s="1"/>
  <c r="E81" i="63"/>
  <c r="F81" i="63" s="1"/>
  <c r="E80" i="116"/>
  <c r="F80" i="116" s="1"/>
  <c r="E8" i="63"/>
  <c r="E66" i="118"/>
  <c r="F66" i="118" s="1"/>
  <c r="E8" i="116"/>
  <c r="E82" i="63"/>
  <c r="F82" i="63" s="1"/>
  <c r="E81" i="116"/>
  <c r="F81" i="116" s="1"/>
  <c r="E8" i="81"/>
  <c r="E67" i="92"/>
  <c r="F67" i="92" s="1"/>
  <c r="C8" i="81"/>
  <c r="E66" i="92"/>
  <c r="F66" i="92" s="1"/>
  <c r="C20" i="58" l="1"/>
  <c r="F215" i="122"/>
  <c r="I135" i="120"/>
  <c r="H135" i="120"/>
  <c r="D202" i="92"/>
  <c r="D204" i="92" s="1"/>
  <c r="D209" i="92"/>
  <c r="D218" i="92"/>
  <c r="H43" i="124"/>
  <c r="H55" i="124"/>
  <c r="I131" i="120"/>
  <c r="H42" i="124"/>
  <c r="I42" i="124"/>
  <c r="H56" i="124"/>
  <c r="I56" i="124"/>
  <c r="H131" i="120"/>
  <c r="I55" i="124"/>
  <c r="H132" i="120"/>
  <c r="I132" i="120"/>
  <c r="I43" i="124"/>
  <c r="H118" i="120"/>
  <c r="I53" i="124"/>
  <c r="I18" i="124"/>
  <c r="H66" i="118"/>
  <c r="I66" i="118"/>
  <c r="J66" i="118"/>
  <c r="H94" i="118"/>
  <c r="I94" i="118"/>
  <c r="J94" i="118"/>
  <c r="H65" i="118"/>
  <c r="J65" i="118"/>
  <c r="I65" i="118"/>
  <c r="H46" i="118"/>
  <c r="I46" i="118"/>
  <c r="J46" i="118"/>
  <c r="H148" i="118"/>
  <c r="J148" i="118"/>
  <c r="I148" i="118"/>
  <c r="I71" i="120"/>
  <c r="I82" i="120"/>
  <c r="I72" i="120"/>
  <c r="I121" i="120"/>
  <c r="H17" i="124"/>
  <c r="I66" i="120"/>
  <c r="I126" i="120"/>
  <c r="I34" i="124"/>
  <c r="I37" i="120"/>
  <c r="I39" i="120"/>
  <c r="I20" i="124"/>
  <c r="I79" i="120"/>
  <c r="I112" i="120"/>
  <c r="I27" i="124"/>
  <c r="I129" i="120"/>
  <c r="I139" i="120"/>
  <c r="I64" i="120"/>
  <c r="I102" i="120"/>
  <c r="I108" i="120"/>
  <c r="I137" i="120"/>
  <c r="I83" i="120"/>
  <c r="I62" i="120"/>
  <c r="I51" i="124"/>
  <c r="I54" i="124"/>
  <c r="I52" i="124"/>
  <c r="I63" i="120"/>
  <c r="I40" i="124"/>
  <c r="I138" i="120"/>
  <c r="I50" i="124"/>
  <c r="I124" i="120"/>
  <c r="I80" i="120"/>
  <c r="I117" i="120"/>
  <c r="I65" i="120"/>
  <c r="I119" i="120"/>
  <c r="I38" i="124"/>
  <c r="I17" i="124"/>
  <c r="H27" i="124"/>
  <c r="H40" i="124"/>
  <c r="H20" i="124"/>
  <c r="H32" i="124"/>
  <c r="H52" i="124"/>
  <c r="H53" i="124"/>
  <c r="H38" i="124"/>
  <c r="H51" i="124"/>
  <c r="H50" i="124"/>
  <c r="H54" i="124"/>
  <c r="H34" i="124"/>
  <c r="F33" i="48"/>
  <c r="H33" i="48" s="1"/>
  <c r="E131" i="92"/>
  <c r="F133" i="92" s="1"/>
  <c r="H83" i="120"/>
  <c r="H137" i="120"/>
  <c r="H112" i="120"/>
  <c r="H80" i="120"/>
  <c r="H62" i="120"/>
  <c r="H66" i="120"/>
  <c r="H82" i="120"/>
  <c r="H117" i="120"/>
  <c r="H39" i="120"/>
  <c r="H64" i="120"/>
  <c r="H126" i="120"/>
  <c r="H71" i="120"/>
  <c r="H79" i="120"/>
  <c r="H129" i="120"/>
  <c r="H72" i="120"/>
  <c r="H119" i="120"/>
  <c r="H121" i="120"/>
  <c r="H124" i="120"/>
  <c r="H138" i="120"/>
  <c r="H139" i="120"/>
  <c r="H65" i="120"/>
  <c r="H108" i="120"/>
  <c r="H37" i="120"/>
  <c r="H102" i="120"/>
  <c r="D211" i="92" l="1"/>
  <c r="D213" i="92"/>
  <c r="D222" i="92"/>
  <c r="D220" i="92"/>
  <c r="F131" i="92"/>
  <c r="F132" i="92"/>
  <c r="D90" i="92"/>
  <c r="D91" i="92"/>
  <c r="D92" i="92"/>
  <c r="D93" i="92"/>
  <c r="E81" i="96"/>
  <c r="E53" i="92"/>
  <c r="E54" i="92"/>
  <c r="E55" i="92"/>
  <c r="E56" i="92"/>
  <c r="H185" i="92" l="1"/>
  <c r="H183" i="92"/>
  <c r="H187" i="92"/>
  <c r="H188" i="92"/>
  <c r="H189" i="92"/>
  <c r="H191" i="92"/>
  <c r="H190" i="92"/>
  <c r="H167" i="92"/>
  <c r="H168" i="92"/>
  <c r="H146" i="92"/>
  <c r="H172" i="92"/>
  <c r="H178" i="92"/>
  <c r="H148" i="92"/>
  <c r="H158" i="92"/>
  <c r="H174" i="92"/>
  <c r="H150" i="92"/>
  <c r="H176" i="92"/>
  <c r="E156" i="122"/>
  <c r="F156" i="122" s="1"/>
  <c r="E75" i="122"/>
  <c r="F75" i="122" s="1"/>
  <c r="E75" i="120"/>
  <c r="F75" i="120" s="1"/>
  <c r="E61" i="118"/>
  <c r="F61" i="118" s="1"/>
  <c r="E74" i="116"/>
  <c r="F74" i="116" s="1"/>
  <c r="E77" i="63"/>
  <c r="F77" i="63" s="1"/>
  <c r="E66" i="90"/>
  <c r="F66" i="90"/>
  <c r="G66" i="90"/>
  <c r="H66" i="90"/>
  <c r="I64" i="90"/>
  <c r="E80" i="96"/>
  <c r="E79" i="96"/>
  <c r="H131" i="82"/>
  <c r="H130" i="82"/>
  <c r="H129" i="82"/>
  <c r="H123" i="82"/>
  <c r="F205" i="122" s="1"/>
  <c r="H119" i="82"/>
  <c r="F68" i="120" s="1"/>
  <c r="H118" i="82"/>
  <c r="H116" i="82"/>
  <c r="F214" i="122" s="1"/>
  <c r="H115" i="82"/>
  <c r="F213" i="122" s="1"/>
  <c r="H113" i="82"/>
  <c r="H101" i="82"/>
  <c r="F154" i="92" s="1"/>
  <c r="H154" i="92" s="1"/>
  <c r="H100" i="82"/>
  <c r="H84" i="82"/>
  <c r="H85" i="82"/>
  <c r="H86" i="82"/>
  <c r="F156" i="92" s="1"/>
  <c r="H156" i="92" s="1"/>
  <c r="H87" i="82"/>
  <c r="H88" i="82"/>
  <c r="H89" i="82"/>
  <c r="H90" i="82"/>
  <c r="F155" i="92" s="1"/>
  <c r="H155" i="92" s="1"/>
  <c r="H91" i="82"/>
  <c r="H92" i="82"/>
  <c r="F25" i="124" s="1"/>
  <c r="H93" i="82"/>
  <c r="H94" i="82"/>
  <c r="F26" i="124" s="1"/>
  <c r="H95" i="82"/>
  <c r="H96" i="82"/>
  <c r="H97" i="82"/>
  <c r="F30" i="124" s="1"/>
  <c r="H83" i="82"/>
  <c r="F22" i="124" s="1"/>
  <c r="H69" i="82"/>
  <c r="H71" i="82"/>
  <c r="H62" i="82"/>
  <c r="H63" i="82"/>
  <c r="H53" i="82"/>
  <c r="H54" i="82"/>
  <c r="H55" i="82"/>
  <c r="H56" i="82"/>
  <c r="H57" i="82"/>
  <c r="H58" i="82"/>
  <c r="H59" i="82"/>
  <c r="H60" i="82"/>
  <c r="H61" i="82"/>
  <c r="H65" i="82"/>
  <c r="H64" i="82"/>
  <c r="H66" i="82"/>
  <c r="H67" i="82"/>
  <c r="H68" i="82"/>
  <c r="H72" i="82"/>
  <c r="H73" i="82"/>
  <c r="H74" i="82"/>
  <c r="H75" i="82"/>
  <c r="H76" i="82"/>
  <c r="F18" i="118" s="1"/>
  <c r="H52" i="82"/>
  <c r="F41" i="124" l="1"/>
  <c r="H41" i="124" s="1"/>
  <c r="F85" i="92"/>
  <c r="F84" i="118"/>
  <c r="F100" i="116"/>
  <c r="F36" i="48"/>
  <c r="H36" i="48" s="1"/>
  <c r="D143" i="82"/>
  <c r="D145" i="82"/>
  <c r="E43" i="90"/>
  <c r="E42" i="90" s="1"/>
  <c r="H75" i="120"/>
  <c r="I75" i="120"/>
  <c r="I18" i="118"/>
  <c r="J18" i="118"/>
  <c r="H18" i="118"/>
  <c r="H61" i="118"/>
  <c r="J61" i="118"/>
  <c r="I61" i="118"/>
  <c r="H26" i="124"/>
  <c r="I26" i="124"/>
  <c r="H68" i="120"/>
  <c r="I68" i="120"/>
  <c r="H22" i="124"/>
  <c r="I22" i="124"/>
  <c r="H25" i="124"/>
  <c r="I25" i="124"/>
  <c r="H30" i="124"/>
  <c r="I30" i="124"/>
  <c r="F37" i="48"/>
  <c r="H37" i="48" s="1"/>
  <c r="F36" i="124"/>
  <c r="F35" i="124"/>
  <c r="F19" i="124"/>
  <c r="F37" i="124"/>
  <c r="F33" i="124"/>
  <c r="F39" i="124"/>
  <c r="F21" i="124"/>
  <c r="F23" i="124"/>
  <c r="F28" i="124"/>
  <c r="F24" i="124"/>
  <c r="F29" i="124"/>
  <c r="F32" i="48"/>
  <c r="H32" i="48" s="1"/>
  <c r="D144" i="82"/>
  <c r="F46" i="48"/>
  <c r="H46" i="48" s="1"/>
  <c r="F42" i="48"/>
  <c r="H42" i="48" s="1"/>
  <c r="F38" i="48"/>
  <c r="H38" i="48" s="1"/>
  <c r="F40" i="48"/>
  <c r="H40" i="48" s="1"/>
  <c r="F44" i="48"/>
  <c r="H44" i="48" s="1"/>
  <c r="E155" i="122"/>
  <c r="F155" i="122" s="1"/>
  <c r="E74" i="122"/>
  <c r="F74" i="122" s="1"/>
  <c r="E74" i="120"/>
  <c r="F74" i="120" s="1"/>
  <c r="E60" i="118"/>
  <c r="F60" i="118" s="1"/>
  <c r="E76" i="63"/>
  <c r="F76" i="63" s="1"/>
  <c r="E73" i="116"/>
  <c r="F73" i="116" s="1"/>
  <c r="E61" i="92"/>
  <c r="F53" i="122"/>
  <c r="F43" i="118"/>
  <c r="F52" i="116"/>
  <c r="F27" i="122"/>
  <c r="F107" i="122"/>
  <c r="F28" i="120"/>
  <c r="F28" i="118"/>
  <c r="F26" i="116"/>
  <c r="F28" i="63"/>
  <c r="F29" i="92"/>
  <c r="F110" i="122"/>
  <c r="F30" i="122"/>
  <c r="F31" i="120"/>
  <c r="F31" i="118"/>
  <c r="F29" i="116"/>
  <c r="F31" i="63"/>
  <c r="F32" i="92"/>
  <c r="F121" i="122"/>
  <c r="F44" i="122"/>
  <c r="F42" i="120"/>
  <c r="F42" i="118"/>
  <c r="F43" i="116"/>
  <c r="F106" i="122"/>
  <c r="F26" i="122"/>
  <c r="F29" i="122"/>
  <c r="F109" i="122"/>
  <c r="F96" i="122"/>
  <c r="F17" i="120"/>
  <c r="F114" i="122"/>
  <c r="F34" i="122"/>
  <c r="F35" i="120"/>
  <c r="F35" i="118"/>
  <c r="F33" i="116"/>
  <c r="F35" i="63"/>
  <c r="F36" i="92"/>
  <c r="F25" i="122"/>
  <c r="F105" i="122"/>
  <c r="F26" i="120"/>
  <c r="F26" i="118"/>
  <c r="F24" i="116"/>
  <c r="F26" i="63"/>
  <c r="F27" i="92"/>
  <c r="F21" i="122"/>
  <c r="F101" i="122"/>
  <c r="F22" i="120"/>
  <c r="F22" i="118"/>
  <c r="F20" i="116"/>
  <c r="F22" i="63"/>
  <c r="F23" i="92"/>
  <c r="F37" i="122"/>
  <c r="F117" i="122"/>
  <c r="F38" i="120"/>
  <c r="F38" i="118"/>
  <c r="F36" i="116"/>
  <c r="F38" i="63"/>
  <c r="F39" i="92"/>
  <c r="F122" i="120"/>
  <c r="F152" i="118"/>
  <c r="F98" i="118"/>
  <c r="F124" i="63"/>
  <c r="F123" i="116"/>
  <c r="F112" i="81"/>
  <c r="F99" i="92"/>
  <c r="F170" i="92"/>
  <c r="H170" i="92" s="1"/>
  <c r="F99" i="122"/>
  <c r="F19" i="122"/>
  <c r="F20" i="120"/>
  <c r="F20" i="118"/>
  <c r="F18" i="116"/>
  <c r="F20" i="63"/>
  <c r="F21" i="92"/>
  <c r="F32" i="122"/>
  <c r="F112" i="122"/>
  <c r="F33" i="120"/>
  <c r="F33" i="118"/>
  <c r="F31" i="116"/>
  <c r="F33" i="63"/>
  <c r="F34" i="92"/>
  <c r="F23" i="122"/>
  <c r="F103" i="122"/>
  <c r="F24" i="120"/>
  <c r="F24" i="118"/>
  <c r="F22" i="116"/>
  <c r="F24" i="63"/>
  <c r="F25" i="92"/>
  <c r="F111" i="122"/>
  <c r="F31" i="122"/>
  <c r="F32" i="120"/>
  <c r="F32" i="118"/>
  <c r="F30" i="116"/>
  <c r="F32" i="63"/>
  <c r="F33" i="92"/>
  <c r="F102" i="122"/>
  <c r="F22" i="122"/>
  <c r="F23" i="120"/>
  <c r="F23" i="118"/>
  <c r="F21" i="116"/>
  <c r="F23" i="63"/>
  <c r="F24" i="92"/>
  <c r="F202" i="122"/>
  <c r="F210" i="122"/>
  <c r="F204" i="122"/>
  <c r="F208" i="122"/>
  <c r="F206" i="122"/>
  <c r="F184" i="122"/>
  <c r="F106" i="120"/>
  <c r="F127" i="120"/>
  <c r="F125" i="120"/>
  <c r="F123" i="120"/>
  <c r="F159" i="118"/>
  <c r="F129" i="63"/>
  <c r="F105" i="118"/>
  <c r="F133" i="63"/>
  <c r="F127" i="63"/>
  <c r="F153" i="118"/>
  <c r="F106" i="63"/>
  <c r="F125" i="63"/>
  <c r="F107" i="118"/>
  <c r="F99" i="118"/>
  <c r="F131" i="63"/>
  <c r="F101" i="118"/>
  <c r="F155" i="118"/>
  <c r="F103" i="118"/>
  <c r="F157" i="118"/>
  <c r="F161" i="118"/>
  <c r="F124" i="116"/>
  <c r="F120" i="116"/>
  <c r="F128" i="116"/>
  <c r="F122" i="116"/>
  <c r="F103" i="116"/>
  <c r="F126" i="116"/>
  <c r="F102" i="92"/>
  <c r="F109" i="81"/>
  <c r="F106" i="92"/>
  <c r="F117" i="81"/>
  <c r="F100" i="92"/>
  <c r="F179" i="92"/>
  <c r="H179" i="92" s="1"/>
  <c r="F111" i="81"/>
  <c r="F175" i="92"/>
  <c r="H175" i="92" s="1"/>
  <c r="F113" i="81"/>
  <c r="F104" i="92"/>
  <c r="F173" i="92"/>
  <c r="H173" i="92" s="1"/>
  <c r="F115" i="81"/>
  <c r="F177" i="92"/>
  <c r="H177" i="92" s="1"/>
  <c r="F171" i="92"/>
  <c r="H171" i="92" s="1"/>
  <c r="F108" i="92"/>
  <c r="F138" i="122"/>
  <c r="F134" i="122"/>
  <c r="F130" i="122"/>
  <c r="F126" i="122"/>
  <c r="F122" i="122"/>
  <c r="F55" i="122"/>
  <c r="F49" i="122"/>
  <c r="F135" i="122"/>
  <c r="F131" i="122"/>
  <c r="F127" i="122"/>
  <c r="F123" i="122"/>
  <c r="F137" i="122"/>
  <c r="F133" i="122"/>
  <c r="F129" i="122"/>
  <c r="F125" i="122"/>
  <c r="F54" i="122"/>
  <c r="F48" i="122"/>
  <c r="F136" i="122"/>
  <c r="F132" i="122"/>
  <c r="F128" i="122"/>
  <c r="F124" i="122"/>
  <c r="F47" i="122"/>
  <c r="F52" i="122"/>
  <c r="F45" i="122"/>
  <c r="F50" i="122"/>
  <c r="F51" i="122"/>
  <c r="F57" i="122"/>
  <c r="F56" i="122"/>
  <c r="F46" i="122"/>
  <c r="F51" i="120"/>
  <c r="F59" i="120"/>
  <c r="F48" i="120"/>
  <c r="F50" i="120"/>
  <c r="F58" i="120"/>
  <c r="F46" i="120"/>
  <c r="F45" i="120"/>
  <c r="F47" i="120"/>
  <c r="F57" i="120"/>
  <c r="F43" i="120"/>
  <c r="F53" i="120"/>
  <c r="F44" i="120"/>
  <c r="F54" i="120"/>
  <c r="F56" i="120"/>
  <c r="F49" i="120"/>
  <c r="F55" i="120"/>
  <c r="F52" i="120"/>
  <c r="F41" i="118"/>
  <c r="F51" i="116"/>
  <c r="F44" i="116"/>
  <c r="F46" i="116"/>
  <c r="F54" i="116"/>
  <c r="F48" i="116"/>
  <c r="F53" i="116"/>
  <c r="F47" i="116"/>
  <c r="F50" i="116"/>
  <c r="F45" i="116"/>
  <c r="F49" i="116"/>
  <c r="F55" i="116"/>
  <c r="F56" i="116"/>
  <c r="F33" i="122"/>
  <c r="F113" i="122"/>
  <c r="F34" i="120"/>
  <c r="F34" i="118"/>
  <c r="F32" i="116"/>
  <c r="F34" i="63"/>
  <c r="F35" i="92"/>
  <c r="F28" i="122"/>
  <c r="F108" i="122"/>
  <c r="F29" i="120"/>
  <c r="F29" i="118"/>
  <c r="F27" i="116"/>
  <c r="F29" i="63"/>
  <c r="F30" i="92"/>
  <c r="F104" i="122"/>
  <c r="F24" i="122"/>
  <c r="F25" i="120"/>
  <c r="F25" i="118"/>
  <c r="F23" i="116"/>
  <c r="F25" i="63"/>
  <c r="F26" i="92"/>
  <c r="F20" i="122"/>
  <c r="F100" i="122"/>
  <c r="F21" i="120"/>
  <c r="F21" i="118"/>
  <c r="F19" i="116"/>
  <c r="F21" i="63"/>
  <c r="F22" i="92"/>
  <c r="F115" i="122"/>
  <c r="F35" i="122"/>
  <c r="F36" i="120"/>
  <c r="F36" i="118"/>
  <c r="F34" i="116"/>
  <c r="F36" i="63"/>
  <c r="F37" i="92"/>
  <c r="E157" i="122"/>
  <c r="F157" i="122" s="1"/>
  <c r="E78" i="122"/>
  <c r="F78" i="122" s="1"/>
  <c r="E76" i="120"/>
  <c r="F76" i="120" s="1"/>
  <c r="F120" i="120"/>
  <c r="F67" i="120"/>
  <c r="F123" i="63"/>
  <c r="F151" i="118"/>
  <c r="F97" i="118"/>
  <c r="F169" i="92"/>
  <c r="H169" i="92" s="1"/>
  <c r="F59" i="122"/>
  <c r="F140" i="122"/>
  <c r="F116" i="120"/>
  <c r="F61" i="120"/>
  <c r="F93" i="118"/>
  <c r="F147" i="118"/>
  <c r="F119" i="63"/>
  <c r="F45" i="118"/>
  <c r="F61" i="63"/>
  <c r="F58" i="116"/>
  <c r="F115" i="120"/>
  <c r="F69" i="120"/>
  <c r="F85" i="118"/>
  <c r="F86" i="92"/>
  <c r="F196" i="122"/>
  <c r="F110" i="120"/>
  <c r="F109" i="63"/>
  <c r="F115" i="116"/>
  <c r="F159" i="92"/>
  <c r="H159" i="92" s="1"/>
  <c r="F191" i="122"/>
  <c r="F110" i="116"/>
  <c r="F188" i="122"/>
  <c r="F107" i="116"/>
  <c r="F157" i="92"/>
  <c r="H157" i="92" s="1"/>
  <c r="F190" i="122"/>
  <c r="F109" i="116"/>
  <c r="F195" i="122"/>
  <c r="F187" i="122"/>
  <c r="F109" i="120"/>
  <c r="F108" i="63"/>
  <c r="F106" i="116"/>
  <c r="F113" i="116"/>
  <c r="F100" i="81"/>
  <c r="F186" i="122"/>
  <c r="F107" i="120"/>
  <c r="F105" i="116"/>
  <c r="F99" i="81"/>
  <c r="F185" i="122"/>
  <c r="F97" i="122"/>
  <c r="F18" i="120"/>
  <c r="F140" i="118"/>
  <c r="F86" i="118"/>
  <c r="F104" i="116"/>
  <c r="F98" i="81"/>
  <c r="F153" i="92"/>
  <c r="H153" i="92" s="1"/>
  <c r="F192" i="122"/>
  <c r="F198" i="122"/>
  <c r="F113" i="120"/>
  <c r="F111" i="116"/>
  <c r="F105" i="81"/>
  <c r="F111" i="120"/>
  <c r="F114" i="116"/>
  <c r="F189" i="122"/>
  <c r="F108" i="116"/>
  <c r="F30" i="120"/>
  <c r="F30" i="118"/>
  <c r="F28" i="116"/>
  <c r="F30" i="63"/>
  <c r="F31" i="92"/>
  <c r="F27" i="120"/>
  <c r="I27" i="120" s="1"/>
  <c r="F27" i="118"/>
  <c r="F25" i="116"/>
  <c r="F27" i="63"/>
  <c r="F28" i="92"/>
  <c r="E62" i="118"/>
  <c r="F62" i="118" s="1"/>
  <c r="E77" i="116"/>
  <c r="F77" i="116" s="1"/>
  <c r="E78" i="63"/>
  <c r="F78" i="63" s="1"/>
  <c r="I66" i="90"/>
  <c r="H110" i="82"/>
  <c r="H108" i="82"/>
  <c r="H109" i="82"/>
  <c r="H111" i="82"/>
  <c r="E67" i="118" l="1"/>
  <c r="F67" i="118" s="1"/>
  <c r="E83" i="122"/>
  <c r="F83" i="122" s="1"/>
  <c r="E82" i="116"/>
  <c r="F82" i="116" s="1"/>
  <c r="I84" i="118"/>
  <c r="J84" i="118"/>
  <c r="H84" i="118"/>
  <c r="H107" i="120"/>
  <c r="I107" i="120"/>
  <c r="F29" i="48"/>
  <c r="H29" i="48" s="1"/>
  <c r="F133" i="116"/>
  <c r="F218" i="122"/>
  <c r="F46" i="124"/>
  <c r="F122" i="81"/>
  <c r="F28" i="48"/>
  <c r="H28" i="48" s="1"/>
  <c r="F132" i="116"/>
  <c r="F217" i="122"/>
  <c r="F45" i="124"/>
  <c r="F121" i="81"/>
  <c r="F30" i="48"/>
  <c r="H30" i="48" s="1"/>
  <c r="F134" i="116"/>
  <c r="F219" i="122"/>
  <c r="F47" i="124"/>
  <c r="F123" i="81"/>
  <c r="F31" i="48"/>
  <c r="H31" i="48" s="1"/>
  <c r="F48" i="124"/>
  <c r="F220" i="122"/>
  <c r="F135" i="116"/>
  <c r="F124" i="81"/>
  <c r="I19" i="124"/>
  <c r="H140" i="118"/>
  <c r="J140" i="118"/>
  <c r="I140" i="118"/>
  <c r="H74" i="120"/>
  <c r="I74" i="120"/>
  <c r="H41" i="118"/>
  <c r="I41" i="118"/>
  <c r="J41" i="118"/>
  <c r="H86" i="118"/>
  <c r="J86" i="118"/>
  <c r="I86" i="118"/>
  <c r="H43" i="118"/>
  <c r="I43" i="118"/>
  <c r="J43" i="118"/>
  <c r="H42" i="118"/>
  <c r="I42" i="118"/>
  <c r="J42" i="118"/>
  <c r="H85" i="118"/>
  <c r="J85" i="118"/>
  <c r="I85" i="118"/>
  <c r="I27" i="118"/>
  <c r="J27" i="118"/>
  <c r="H93" i="118"/>
  <c r="J93" i="118"/>
  <c r="I93" i="118"/>
  <c r="H21" i="118"/>
  <c r="J21" i="118"/>
  <c r="I21" i="118"/>
  <c r="H99" i="118"/>
  <c r="J99" i="118"/>
  <c r="I99" i="118"/>
  <c r="H35" i="118"/>
  <c r="I35" i="118"/>
  <c r="J35" i="118"/>
  <c r="H151" i="118"/>
  <c r="I151" i="118"/>
  <c r="J151" i="118"/>
  <c r="H105" i="118"/>
  <c r="J105" i="118"/>
  <c r="I105" i="118"/>
  <c r="H36" i="118"/>
  <c r="J36" i="118"/>
  <c r="I36" i="118"/>
  <c r="H107" i="118"/>
  <c r="J107" i="118"/>
  <c r="I107" i="118"/>
  <c r="H159" i="118"/>
  <c r="I159" i="118"/>
  <c r="J159" i="118"/>
  <c r="H26" i="118"/>
  <c r="J26" i="118"/>
  <c r="I26" i="118"/>
  <c r="H28" i="118"/>
  <c r="J28" i="118"/>
  <c r="I28" i="118"/>
  <c r="H23" i="118"/>
  <c r="J23" i="118"/>
  <c r="I23" i="118"/>
  <c r="H161" i="118"/>
  <c r="I161" i="118"/>
  <c r="J161" i="118"/>
  <c r="H22" i="118"/>
  <c r="I22" i="118"/>
  <c r="J22" i="118"/>
  <c r="H31" i="118"/>
  <c r="J31" i="118"/>
  <c r="I31" i="118"/>
  <c r="H147" i="118"/>
  <c r="I147" i="118"/>
  <c r="J147" i="118"/>
  <c r="H157" i="118"/>
  <c r="J157" i="118"/>
  <c r="I157" i="118"/>
  <c r="H20" i="118"/>
  <c r="J20" i="118"/>
  <c r="I20" i="118"/>
  <c r="H38" i="118"/>
  <c r="I38" i="118"/>
  <c r="J38" i="118"/>
  <c r="H60" i="118"/>
  <c r="J60" i="118"/>
  <c r="I60" i="118"/>
  <c r="H25" i="118"/>
  <c r="J25" i="118"/>
  <c r="I25" i="118"/>
  <c r="H62" i="118"/>
  <c r="J62" i="118"/>
  <c r="I62" i="118"/>
  <c r="H103" i="118"/>
  <c r="I103" i="118"/>
  <c r="J103" i="118"/>
  <c r="H153" i="118"/>
  <c r="I153" i="118"/>
  <c r="J153" i="118"/>
  <c r="H33" i="118"/>
  <c r="J33" i="118"/>
  <c r="I33" i="118"/>
  <c r="H98" i="118"/>
  <c r="J98" i="118"/>
  <c r="I98" i="118"/>
  <c r="H45" i="118"/>
  <c r="J45" i="118"/>
  <c r="I45" i="118"/>
  <c r="H155" i="118"/>
  <c r="I155" i="118"/>
  <c r="J155" i="118"/>
  <c r="H24" i="118"/>
  <c r="J24" i="118"/>
  <c r="I24" i="118"/>
  <c r="H152" i="118"/>
  <c r="I152" i="118"/>
  <c r="J152" i="118"/>
  <c r="H30" i="118"/>
  <c r="I30" i="118"/>
  <c r="J30" i="118"/>
  <c r="H34" i="118"/>
  <c r="J34" i="118"/>
  <c r="I34" i="118"/>
  <c r="H97" i="118"/>
  <c r="J97" i="118"/>
  <c r="I97" i="118"/>
  <c r="H29" i="118"/>
  <c r="J29" i="118"/>
  <c r="I29" i="118"/>
  <c r="H101" i="118"/>
  <c r="J101" i="118"/>
  <c r="I101" i="118"/>
  <c r="H32" i="118"/>
  <c r="J32" i="118"/>
  <c r="I32" i="118"/>
  <c r="H69" i="120"/>
  <c r="I69" i="120"/>
  <c r="H61" i="120"/>
  <c r="I61" i="120"/>
  <c r="H67" i="120"/>
  <c r="I67" i="120"/>
  <c r="H21" i="120"/>
  <c r="I21" i="120"/>
  <c r="H35" i="120"/>
  <c r="I35" i="120"/>
  <c r="H24" i="124"/>
  <c r="I24" i="124"/>
  <c r="H109" i="120"/>
  <c r="I109" i="120"/>
  <c r="H111" i="120"/>
  <c r="I111" i="120"/>
  <c r="H115" i="120"/>
  <c r="I115" i="120"/>
  <c r="H116" i="120"/>
  <c r="I116" i="120"/>
  <c r="H120" i="120"/>
  <c r="I120" i="120"/>
  <c r="H36" i="120"/>
  <c r="I36" i="120"/>
  <c r="H123" i="120"/>
  <c r="I123" i="120"/>
  <c r="H26" i="120"/>
  <c r="I26" i="120"/>
  <c r="H28" i="120"/>
  <c r="I28" i="120"/>
  <c r="H28" i="124"/>
  <c r="I28" i="124"/>
  <c r="H35" i="124"/>
  <c r="I35" i="124"/>
  <c r="H76" i="120"/>
  <c r="I76" i="120"/>
  <c r="H125" i="120"/>
  <c r="I125" i="120"/>
  <c r="H22" i="120"/>
  <c r="I22" i="120"/>
  <c r="H31" i="120"/>
  <c r="I31" i="120"/>
  <c r="H23" i="124"/>
  <c r="I23" i="124"/>
  <c r="H36" i="124"/>
  <c r="I36" i="124"/>
  <c r="H127" i="120"/>
  <c r="I127" i="120"/>
  <c r="H20" i="120"/>
  <c r="I20" i="120"/>
  <c r="H38" i="120"/>
  <c r="I38" i="120"/>
  <c r="I17" i="120"/>
  <c r="H17" i="120"/>
  <c r="H21" i="124"/>
  <c r="I21" i="124"/>
  <c r="H113" i="120"/>
  <c r="I113" i="120"/>
  <c r="H110" i="120"/>
  <c r="I110" i="120"/>
  <c r="H106" i="120"/>
  <c r="I106" i="120"/>
  <c r="H33" i="120"/>
  <c r="I33" i="120"/>
  <c r="H39" i="124"/>
  <c r="I39" i="124"/>
  <c r="H18" i="120"/>
  <c r="I18" i="120"/>
  <c r="H30" i="120"/>
  <c r="I30" i="120"/>
  <c r="H34" i="120"/>
  <c r="I34" i="120"/>
  <c r="H24" i="120"/>
  <c r="I24" i="120"/>
  <c r="H122" i="120"/>
  <c r="I122" i="120"/>
  <c r="H33" i="124"/>
  <c r="I33" i="124"/>
  <c r="H29" i="120"/>
  <c r="I29" i="120"/>
  <c r="H32" i="120"/>
  <c r="I32" i="120"/>
  <c r="I41" i="124"/>
  <c r="H25" i="120"/>
  <c r="I25" i="120"/>
  <c r="H23" i="120"/>
  <c r="I23" i="120"/>
  <c r="H29" i="124"/>
  <c r="I29" i="124"/>
  <c r="H37" i="124"/>
  <c r="I37" i="124"/>
  <c r="H19" i="124"/>
  <c r="C40" i="96"/>
  <c r="E64" i="81"/>
  <c r="E62" i="81"/>
  <c r="F41" i="120"/>
  <c r="I41" i="120" s="1"/>
  <c r="F43" i="122"/>
  <c r="F42" i="116"/>
  <c r="F120" i="122"/>
  <c r="E81" i="120"/>
  <c r="F81" i="120" s="1"/>
  <c r="E162" i="122"/>
  <c r="F162" i="122" s="1"/>
  <c r="F149" i="122"/>
  <c r="F68" i="122"/>
  <c r="F69" i="122"/>
  <c r="F150" i="122"/>
  <c r="F67" i="122"/>
  <c r="F148" i="122"/>
  <c r="F147" i="122"/>
  <c r="F66" i="122"/>
  <c r="F115" i="63"/>
  <c r="F89" i="118"/>
  <c r="F52" i="118"/>
  <c r="F143" i="118"/>
  <c r="F65" i="116"/>
  <c r="F68" i="63"/>
  <c r="F118" i="63"/>
  <c r="F92" i="118"/>
  <c r="F146" i="118"/>
  <c r="F55" i="118"/>
  <c r="F71" i="63"/>
  <c r="F68" i="116"/>
  <c r="F117" i="63"/>
  <c r="F91" i="118"/>
  <c r="F54" i="118"/>
  <c r="F145" i="118"/>
  <c r="F70" i="63"/>
  <c r="F67" i="116"/>
  <c r="F116" i="63"/>
  <c r="F144" i="118"/>
  <c r="F53" i="118"/>
  <c r="F90" i="118"/>
  <c r="F69" i="63"/>
  <c r="F66" i="116"/>
  <c r="H27" i="118"/>
  <c r="H27" i="120"/>
  <c r="E83" i="63"/>
  <c r="F83" i="63" s="1"/>
  <c r="E65" i="81"/>
  <c r="F65" i="81" s="1"/>
  <c r="E66" i="81"/>
  <c r="F66" i="81" s="1"/>
  <c r="D13" i="81"/>
  <c r="E67" i="81"/>
  <c r="F67" i="81" s="1"/>
  <c r="F164" i="92"/>
  <c r="H164" i="92" s="1"/>
  <c r="F56" i="92"/>
  <c r="F93" i="92"/>
  <c r="F162" i="92"/>
  <c r="H162" i="92" s="1"/>
  <c r="F91" i="92"/>
  <c r="F54" i="92"/>
  <c r="F161" i="92"/>
  <c r="H161" i="92" s="1"/>
  <c r="F90" i="92"/>
  <c r="F53" i="92"/>
  <c r="F163" i="92"/>
  <c r="H163" i="92" s="1"/>
  <c r="F55" i="92"/>
  <c r="F92" i="92"/>
  <c r="E68" i="81"/>
  <c r="F68" i="81" s="1"/>
  <c r="H24" i="90"/>
  <c r="F24" i="90"/>
  <c r="E40" i="81" l="1"/>
  <c r="I46" i="124"/>
  <c r="H46" i="124"/>
  <c r="I47" i="124"/>
  <c r="H47" i="124"/>
  <c r="I48" i="124"/>
  <c r="H48" i="124"/>
  <c r="H45" i="124"/>
  <c r="I45" i="124"/>
  <c r="H146" i="118"/>
  <c r="I146" i="118"/>
  <c r="J146" i="118"/>
  <c r="H145" i="118"/>
  <c r="J145" i="118"/>
  <c r="I145" i="118"/>
  <c r="H92" i="118"/>
  <c r="J92" i="118"/>
  <c r="I92" i="118"/>
  <c r="H89" i="118"/>
  <c r="J89" i="118"/>
  <c r="I89" i="118"/>
  <c r="H54" i="118"/>
  <c r="I54" i="118"/>
  <c r="J54" i="118"/>
  <c r="H90" i="118"/>
  <c r="J90" i="118"/>
  <c r="I90" i="118"/>
  <c r="H91" i="118"/>
  <c r="I91" i="118"/>
  <c r="J91" i="118"/>
  <c r="H53" i="118"/>
  <c r="J53" i="118"/>
  <c r="I53" i="118"/>
  <c r="H144" i="118"/>
  <c r="I144" i="118"/>
  <c r="J144" i="118"/>
  <c r="H143" i="118"/>
  <c r="I143" i="118"/>
  <c r="J143" i="118"/>
  <c r="H55" i="118"/>
  <c r="J55" i="118"/>
  <c r="I55" i="118"/>
  <c r="H67" i="118"/>
  <c r="J67" i="118"/>
  <c r="I67" i="118"/>
  <c r="H52" i="118"/>
  <c r="J52" i="118"/>
  <c r="I52" i="118"/>
  <c r="H81" i="120"/>
  <c r="I81" i="120"/>
  <c r="F86" i="120"/>
  <c r="I86" i="120" s="1"/>
  <c r="H41" i="120"/>
  <c r="E37" i="81"/>
  <c r="E81" i="81"/>
  <c r="F81" i="81" s="1"/>
  <c r="F62" i="81"/>
  <c r="E60" i="81"/>
  <c r="F60" i="81" s="1"/>
  <c r="E61" i="81"/>
  <c r="E15" i="81"/>
  <c r="C32" i="96"/>
  <c r="C49" i="96" s="1"/>
  <c r="H86" i="120" l="1"/>
  <c r="E80" i="81"/>
  <c r="F80" i="81" s="1"/>
  <c r="F61" i="81"/>
  <c r="C41" i="96"/>
  <c r="C57" i="96"/>
  <c r="C56" i="96"/>
  <c r="C42" i="96"/>
  <c r="C58" i="96" l="1"/>
  <c r="D15" i="92"/>
  <c r="J32" i="96" s="1"/>
  <c r="G112" i="82"/>
  <c r="G107" i="82"/>
  <c r="F112" i="82"/>
  <c r="F107" i="82"/>
  <c r="E112" i="82"/>
  <c r="E107" i="82"/>
  <c r="D112" i="82"/>
  <c r="D107" i="82"/>
  <c r="J49" i="96" l="1"/>
  <c r="J48" i="96"/>
  <c r="D71" i="81"/>
  <c r="E71" i="81" s="1"/>
  <c r="F71" i="81" s="1"/>
  <c r="J33" i="96"/>
  <c r="H107" i="82"/>
  <c r="H112" i="82"/>
  <c r="F44" i="124" l="1"/>
  <c r="F131" i="116"/>
  <c r="F216" i="122"/>
  <c r="F120" i="81"/>
  <c r="F27" i="48"/>
  <c r="H27" i="48" s="1"/>
  <c r="F144" i="82"/>
  <c r="F146" i="82"/>
  <c r="G146" i="82" s="1"/>
  <c r="H137" i="82" s="1"/>
  <c r="F146" i="122"/>
  <c r="F65" i="122"/>
  <c r="F114" i="63"/>
  <c r="F51" i="118"/>
  <c r="F142" i="118"/>
  <c r="F88" i="118"/>
  <c r="F64" i="116"/>
  <c r="F85" i="116" s="1"/>
  <c r="F67" i="63"/>
  <c r="J52" i="96"/>
  <c r="J53" i="96"/>
  <c r="J57" i="96"/>
  <c r="J56" i="96"/>
  <c r="F64" i="81"/>
  <c r="J58" i="96" l="1"/>
  <c r="E58" i="118" s="1"/>
  <c r="F58" i="118" s="1"/>
  <c r="H58" i="118" s="1"/>
  <c r="F86" i="122"/>
  <c r="I44" i="124"/>
  <c r="H44" i="124"/>
  <c r="F62" i="124"/>
  <c r="H142" i="118"/>
  <c r="I142" i="118"/>
  <c r="J142" i="118"/>
  <c r="J51" i="118"/>
  <c r="I51" i="118"/>
  <c r="H88" i="118"/>
  <c r="J88" i="118"/>
  <c r="I88" i="118"/>
  <c r="F165" i="122"/>
  <c r="H51" i="118"/>
  <c r="F70" i="118"/>
  <c r="J54" i="96"/>
  <c r="E57" i="118" s="1"/>
  <c r="F57" i="118" s="1"/>
  <c r="K34" i="96"/>
  <c r="K50" i="96" s="1"/>
  <c r="E52" i="92"/>
  <c r="F52" i="92" s="1"/>
  <c r="E51" i="92"/>
  <c r="D99" i="63"/>
  <c r="E99" i="63" s="1"/>
  <c r="E98" i="63"/>
  <c r="E97" i="63"/>
  <c r="E96" i="63"/>
  <c r="J58" i="118" l="1"/>
  <c r="I58" i="118"/>
  <c r="D59" i="92"/>
  <c r="E68" i="92"/>
  <c r="F68" i="92" s="1"/>
  <c r="F51" i="92"/>
  <c r="I62" i="124"/>
  <c r="H62" i="124"/>
  <c r="J57" i="118"/>
  <c r="I57" i="118"/>
  <c r="H70" i="118"/>
  <c r="J70" i="118"/>
  <c r="I70" i="118"/>
  <c r="K61" i="96"/>
  <c r="K62" i="96" s="1"/>
  <c r="D59" i="118" s="1"/>
  <c r="H57" i="118"/>
  <c r="D58" i="92"/>
  <c r="E58" i="81"/>
  <c r="E77" i="81" s="1"/>
  <c r="F77" i="81" s="1"/>
  <c r="G5" i="90"/>
  <c r="H5" i="90"/>
  <c r="H16" i="90" s="1"/>
  <c r="F5" i="90"/>
  <c r="G16" i="90" s="1"/>
  <c r="E5" i="90"/>
  <c r="D5" i="90"/>
  <c r="E16" i="90" s="1"/>
  <c r="I16" i="90" l="1"/>
  <c r="H9" i="118" s="1"/>
  <c r="F165" i="92"/>
  <c r="H165" i="92" s="1"/>
  <c r="F181" i="92"/>
  <c r="F94" i="92"/>
  <c r="D110" i="92"/>
  <c r="F110" i="92" s="1"/>
  <c r="I5" i="90"/>
  <c r="F46" i="92"/>
  <c r="E63" i="92"/>
  <c r="F63" i="92" s="1"/>
  <c r="H181" i="92" l="1"/>
  <c r="E143" i="82"/>
  <c r="E145" i="82"/>
  <c r="E144" i="82"/>
  <c r="I46" i="90"/>
  <c r="D53" i="48" l="1"/>
  <c r="F53" i="48" s="1"/>
  <c r="H53" i="48" s="1"/>
  <c r="D234" i="122"/>
  <c r="F234" i="122" s="1"/>
  <c r="D136" i="120"/>
  <c r="F136" i="120" s="1"/>
  <c r="D142" i="63"/>
  <c r="F142" i="63" s="1"/>
  <c r="D114" i="118"/>
  <c r="F114" i="118" s="1"/>
  <c r="D168" i="118"/>
  <c r="F168" i="118" s="1"/>
  <c r="D186" i="92"/>
  <c r="F186" i="92" s="1"/>
  <c r="H186" i="92" s="1"/>
  <c r="H168" i="118" l="1"/>
  <c r="J168" i="118"/>
  <c r="I168" i="118"/>
  <c r="H114" i="118"/>
  <c r="J114" i="118"/>
  <c r="I114" i="118"/>
  <c r="H136" i="120"/>
  <c r="I136" i="120"/>
  <c r="H80" i="82"/>
  <c r="F103" i="120" l="1"/>
  <c r="F81" i="118"/>
  <c r="F103" i="63"/>
  <c r="F82" i="92"/>
  <c r="H81" i="118" l="1"/>
  <c r="I81" i="118"/>
  <c r="J81" i="118"/>
  <c r="H103" i="120"/>
  <c r="I103" i="120"/>
  <c r="E72" i="96"/>
  <c r="E35" i="96"/>
  <c r="E33" i="96"/>
  <c r="E57" i="96" l="1"/>
  <c r="E56" i="96"/>
  <c r="E43" i="96"/>
  <c r="E39" i="96"/>
  <c r="E58" i="96" l="1"/>
  <c r="D72" i="122" s="1"/>
  <c r="E72" i="122" s="1"/>
  <c r="F72" i="122" s="1"/>
  <c r="E50" i="96"/>
  <c r="E61" i="96" s="1"/>
  <c r="E62" i="96" l="1"/>
  <c r="D73" i="122" s="1"/>
  <c r="G50" i="96" l="1"/>
  <c r="G61" i="96" l="1"/>
  <c r="G62" i="96" s="1"/>
  <c r="D75" i="63" l="1"/>
  <c r="D89" i="92"/>
  <c r="F89" i="92" s="1"/>
  <c r="D33" i="96" l="1"/>
  <c r="D35" i="96"/>
  <c r="D43" i="96" s="1"/>
  <c r="D39" i="96" l="1"/>
  <c r="D50" i="96" s="1"/>
  <c r="H29" i="90" l="1"/>
  <c r="F29" i="90"/>
  <c r="F13" i="90" s="1"/>
  <c r="G14" i="90" s="1"/>
  <c r="D29" i="90"/>
  <c r="D13" i="90" s="1"/>
  <c r="E14" i="90" s="1"/>
  <c r="H13" i="90" l="1"/>
  <c r="I34" i="96"/>
  <c r="I36" i="96" l="1"/>
  <c r="I50" i="96" s="1"/>
  <c r="I61" i="96" s="1"/>
  <c r="I62" i="96" s="1"/>
  <c r="D73" i="120" s="1"/>
  <c r="E73" i="120" s="1"/>
  <c r="F73" i="120" s="1"/>
  <c r="I73" i="120" s="1"/>
  <c r="I13" i="90"/>
  <c r="H14" i="90"/>
  <c r="I14" i="90" s="1"/>
  <c r="C9" i="118" s="1"/>
  <c r="C21" i="117" s="1"/>
  <c r="H73" i="120" l="1"/>
  <c r="C72" i="96"/>
  <c r="C73" i="96" s="1"/>
  <c r="D72" i="96" l="1"/>
  <c r="D61" i="96" l="1"/>
  <c r="D62" i="96" s="1"/>
  <c r="D72" i="116" s="1"/>
  <c r="E53" i="96"/>
  <c r="E52" i="96"/>
  <c r="E54" i="96" l="1"/>
  <c r="D71" i="122" s="1"/>
  <c r="C35" i="96"/>
  <c r="C43" i="96" s="1"/>
  <c r="C33" i="96"/>
  <c r="E93" i="63" l="1"/>
  <c r="C39" i="96"/>
  <c r="C50" i="96" s="1"/>
  <c r="H34" i="96"/>
  <c r="H50" i="96" s="1"/>
  <c r="H61" i="96" l="1"/>
  <c r="H62" i="96" s="1"/>
  <c r="D154" i="122" s="1"/>
  <c r="E154" i="122" s="1"/>
  <c r="F154" i="122" s="1"/>
  <c r="C61" i="96"/>
  <c r="C62" i="96" s="1"/>
  <c r="E73" i="122" s="1"/>
  <c r="F73" i="122" s="1"/>
  <c r="D72" i="81" l="1"/>
  <c r="E72" i="81" s="1"/>
  <c r="F72" i="81" s="1"/>
  <c r="E72" i="116"/>
  <c r="F72" i="116" s="1"/>
  <c r="F160" i="92"/>
  <c r="D98" i="92"/>
  <c r="D115" i="92" s="1"/>
  <c r="D78" i="92"/>
  <c r="E78" i="92" s="1"/>
  <c r="F77" i="92" s="1"/>
  <c r="E62" i="92"/>
  <c r="E19" i="92"/>
  <c r="F19" i="92" s="1"/>
  <c r="D87" i="92"/>
  <c r="E44" i="92"/>
  <c r="F44" i="92" s="1"/>
  <c r="E43" i="92"/>
  <c r="F43" i="92" s="1"/>
  <c r="E42" i="92"/>
  <c r="F42" i="92" s="1"/>
  <c r="H42" i="90"/>
  <c r="H43" i="90" s="1"/>
  <c r="G42" i="90"/>
  <c r="G43" i="90" s="1"/>
  <c r="H81" i="92" l="1"/>
  <c r="H85" i="92"/>
  <c r="F169" i="118"/>
  <c r="J169" i="118" s="1"/>
  <c r="H160" i="92"/>
  <c r="F98" i="92"/>
  <c r="F115" i="92"/>
  <c r="F78" i="92"/>
  <c r="I43" i="90"/>
  <c r="I42" i="90"/>
  <c r="E17" i="92"/>
  <c r="BZ157" i="92"/>
  <c r="BZ159" i="92" s="1"/>
  <c r="H114" i="92" l="1"/>
  <c r="H19" i="92"/>
  <c r="I169" i="118"/>
  <c r="F147" i="116"/>
  <c r="F58" i="124"/>
  <c r="F148" i="116"/>
  <c r="F236" i="122"/>
  <c r="F59" i="124"/>
  <c r="F235" i="122"/>
  <c r="F137" i="81"/>
  <c r="F136" i="81"/>
  <c r="H169" i="118"/>
  <c r="H96" i="92"/>
  <c r="H112" i="92"/>
  <c r="F134" i="120"/>
  <c r="F51" i="48"/>
  <c r="F112" i="118"/>
  <c r="F113" i="92"/>
  <c r="F184" i="92"/>
  <c r="H184" i="92" s="1"/>
  <c r="E59" i="92"/>
  <c r="F59" i="92" s="1"/>
  <c r="E58" i="92"/>
  <c r="F58" i="92" s="1"/>
  <c r="BZ79" i="92"/>
  <c r="CA84" i="92" s="1"/>
  <c r="J34" i="96"/>
  <c r="J50" i="96" s="1"/>
  <c r="J61" i="96" s="1"/>
  <c r="J62" i="96" s="1"/>
  <c r="BZ134" i="92"/>
  <c r="CA134" i="92" s="1"/>
  <c r="CB134" i="92" s="1"/>
  <c r="D74" i="96"/>
  <c r="D76" i="116" s="1"/>
  <c r="D73" i="96"/>
  <c r="D75" i="116" s="1"/>
  <c r="E75" i="116" s="1"/>
  <c r="F75" i="116" s="1"/>
  <c r="H58" i="124" l="1"/>
  <c r="I58" i="124"/>
  <c r="H59" i="124"/>
  <c r="I59" i="124"/>
  <c r="J112" i="118"/>
  <c r="I112" i="118"/>
  <c r="H134" i="120"/>
  <c r="I134" i="120"/>
  <c r="H51" i="48"/>
  <c r="D60" i="92"/>
  <c r="E60" i="92" s="1"/>
  <c r="F60" i="92" s="1"/>
  <c r="E59" i="118"/>
  <c r="F59" i="118" s="1"/>
  <c r="H112" i="118"/>
  <c r="F62" i="92"/>
  <c r="F61" i="92"/>
  <c r="H59" i="118" l="1"/>
  <c r="J59" i="118"/>
  <c r="I59" i="118"/>
  <c r="D57" i="96"/>
  <c r="D56" i="96"/>
  <c r="D58" i="96" l="1"/>
  <c r="D71" i="116" s="1"/>
  <c r="E71" i="116" s="1"/>
  <c r="F71" i="116" s="1"/>
  <c r="D95" i="81"/>
  <c r="D93" i="81" l="1"/>
  <c r="D94" i="81"/>
  <c r="E94" i="81" s="1"/>
  <c r="E173" i="122" l="1"/>
  <c r="E93" i="116"/>
  <c r="E6" i="90"/>
  <c r="E65" i="90" s="1"/>
  <c r="E51" i="90" s="1"/>
  <c r="I51" i="90" s="1"/>
  <c r="F6" i="90"/>
  <c r="F65" i="90" s="1"/>
  <c r="D6" i="90"/>
  <c r="D65" i="90" s="1"/>
  <c r="H6" i="90"/>
  <c r="H65" i="90" s="1"/>
  <c r="G6" i="90"/>
  <c r="G65" i="90" s="1"/>
  <c r="F110" i="63"/>
  <c r="E59" i="81"/>
  <c r="F58" i="81"/>
  <c r="E92" i="81"/>
  <c r="F112" i="63"/>
  <c r="E7" i="90"/>
  <c r="F9" i="90"/>
  <c r="G15" i="90" s="1"/>
  <c r="H9" i="90"/>
  <c r="H15" i="90" s="1"/>
  <c r="F87" i="92"/>
  <c r="E93" i="81"/>
  <c r="D182" i="92" l="1"/>
  <c r="F182" i="92" s="1"/>
  <c r="F193" i="92" s="1"/>
  <c r="D233" i="122"/>
  <c r="F233" i="122" s="1"/>
  <c r="I15" i="90"/>
  <c r="E9" i="118" s="1"/>
  <c r="D135" i="81"/>
  <c r="F135" i="81" s="1"/>
  <c r="F139" i="81" s="1"/>
  <c r="D231" i="122"/>
  <c r="F231" i="122" s="1"/>
  <c r="D139" i="63"/>
  <c r="F139" i="63" s="1"/>
  <c r="D57" i="124"/>
  <c r="F57" i="124" s="1"/>
  <c r="D133" i="120"/>
  <c r="F133" i="120" s="1"/>
  <c r="D146" i="116"/>
  <c r="F146" i="116" s="1"/>
  <c r="D136" i="63"/>
  <c r="F136" i="63" s="1"/>
  <c r="D164" i="118"/>
  <c r="F164" i="118" s="1"/>
  <c r="F176" i="118" s="1"/>
  <c r="D110" i="118"/>
  <c r="F110" i="118" s="1"/>
  <c r="F121" i="118" s="1"/>
  <c r="D130" i="120"/>
  <c r="F130" i="120" s="1"/>
  <c r="D49" i="48"/>
  <c r="F49" i="48" s="1"/>
  <c r="F60" i="48" s="1"/>
  <c r="D111" i="92"/>
  <c r="F111" i="92" s="1"/>
  <c r="F93" i="116"/>
  <c r="F94" i="116"/>
  <c r="F92" i="116"/>
  <c r="F91" i="116"/>
  <c r="F173" i="122"/>
  <c r="F176" i="122"/>
  <c r="F174" i="122"/>
  <c r="F177" i="122"/>
  <c r="F179" i="122"/>
  <c r="F171" i="122"/>
  <c r="F175" i="122"/>
  <c r="F172" i="122"/>
  <c r="F178" i="122"/>
  <c r="F166" i="92"/>
  <c r="H166" i="92" s="1"/>
  <c r="F95" i="92"/>
  <c r="I48" i="90"/>
  <c r="F93" i="81"/>
  <c r="F92" i="81"/>
  <c r="I38" i="81" s="1"/>
  <c r="F91" i="81"/>
  <c r="H137" i="81" s="1"/>
  <c r="F94" i="81"/>
  <c r="I65" i="90"/>
  <c r="I6" i="90"/>
  <c r="I9" i="90"/>
  <c r="F47" i="92"/>
  <c r="F71" i="92" s="1"/>
  <c r="F59" i="81"/>
  <c r="D104" i="81"/>
  <c r="F104" i="81" s="1"/>
  <c r="D103" i="81"/>
  <c r="F103" i="81" s="1"/>
  <c r="D102" i="81"/>
  <c r="F102" i="81" s="1"/>
  <c r="D101" i="81"/>
  <c r="F101" i="81" s="1"/>
  <c r="F141" i="120" l="1"/>
  <c r="I232" i="122"/>
  <c r="I234" i="122"/>
  <c r="H232" i="122"/>
  <c r="H234" i="122"/>
  <c r="H233" i="122"/>
  <c r="I233" i="122"/>
  <c r="F149" i="63"/>
  <c r="H64" i="122"/>
  <c r="H215" i="122"/>
  <c r="H213" i="122"/>
  <c r="H214" i="122"/>
  <c r="I215" i="122"/>
  <c r="I213" i="122"/>
  <c r="I214" i="122"/>
  <c r="I64" i="122"/>
  <c r="I65" i="122"/>
  <c r="H145" i="122"/>
  <c r="H83" i="122"/>
  <c r="I145" i="122"/>
  <c r="I83" i="122"/>
  <c r="I82" i="116"/>
  <c r="I101" i="116"/>
  <c r="H82" i="116"/>
  <c r="H101" i="116"/>
  <c r="H182" i="92"/>
  <c r="I104" i="81"/>
  <c r="I137" i="81"/>
  <c r="I130" i="120"/>
  <c r="I57" i="124"/>
  <c r="H57" i="124"/>
  <c r="F61" i="124"/>
  <c r="I211" i="122"/>
  <c r="I219" i="122"/>
  <c r="I218" i="122"/>
  <c r="I216" i="122"/>
  <c r="I229" i="122"/>
  <c r="I217" i="122"/>
  <c r="I212" i="122"/>
  <c r="I220" i="122"/>
  <c r="I230" i="122"/>
  <c r="I236" i="122"/>
  <c r="I235" i="122"/>
  <c r="H144" i="116"/>
  <c r="H145" i="116"/>
  <c r="H148" i="116"/>
  <c r="H147" i="116"/>
  <c r="I146" i="116"/>
  <c r="H146" i="116"/>
  <c r="F150" i="116"/>
  <c r="I150" i="116" s="1"/>
  <c r="I231" i="122"/>
  <c r="H231" i="122"/>
  <c r="F238" i="122"/>
  <c r="H238" i="122" s="1"/>
  <c r="H212" i="122"/>
  <c r="H217" i="122"/>
  <c r="H229" i="122"/>
  <c r="H205" i="122"/>
  <c r="H216" i="122"/>
  <c r="H218" i="122"/>
  <c r="H211" i="122"/>
  <c r="H220" i="122"/>
  <c r="H219" i="122"/>
  <c r="H230" i="122"/>
  <c r="H235" i="122"/>
  <c r="H236" i="122"/>
  <c r="I144" i="116"/>
  <c r="I145" i="116"/>
  <c r="I148" i="116"/>
  <c r="I147" i="116"/>
  <c r="I133" i="120"/>
  <c r="H133" i="120"/>
  <c r="I129" i="116"/>
  <c r="I134" i="116"/>
  <c r="I133" i="116"/>
  <c r="I131" i="116"/>
  <c r="I130" i="116"/>
  <c r="I132" i="116"/>
  <c r="I135" i="116"/>
  <c r="H98" i="116"/>
  <c r="H132" i="116"/>
  <c r="H130" i="116"/>
  <c r="H135" i="116"/>
  <c r="H129" i="116"/>
  <c r="H131" i="116"/>
  <c r="H134" i="116"/>
  <c r="H133" i="116"/>
  <c r="H119" i="81"/>
  <c r="H120" i="81"/>
  <c r="I120" i="81"/>
  <c r="I119" i="81"/>
  <c r="I124" i="81"/>
  <c r="H118" i="81"/>
  <c r="H121" i="81"/>
  <c r="H123" i="81"/>
  <c r="H122" i="81"/>
  <c r="H124" i="81"/>
  <c r="I123" i="81"/>
  <c r="I121" i="81"/>
  <c r="I122" i="81"/>
  <c r="I118" i="81"/>
  <c r="I136" i="81"/>
  <c r="I135" i="81"/>
  <c r="I59" i="81"/>
  <c r="I134" i="81"/>
  <c r="H134" i="81"/>
  <c r="H136" i="81"/>
  <c r="H135" i="81"/>
  <c r="H133" i="81"/>
  <c r="I133" i="81"/>
  <c r="I102" i="81"/>
  <c r="I64" i="81"/>
  <c r="I71" i="81"/>
  <c r="I62" i="81"/>
  <c r="I67" i="81"/>
  <c r="I101" i="81"/>
  <c r="I68" i="81"/>
  <c r="I117" i="81"/>
  <c r="I132" i="81"/>
  <c r="I107" i="81"/>
  <c r="J110" i="118"/>
  <c r="I110" i="118"/>
  <c r="I164" i="118"/>
  <c r="J164" i="118"/>
  <c r="I103" i="81"/>
  <c r="I61" i="81"/>
  <c r="I66" i="81"/>
  <c r="I113" i="81"/>
  <c r="I114" i="81"/>
  <c r="I116" i="81"/>
  <c r="I143" i="122"/>
  <c r="I63" i="122"/>
  <c r="I227" i="122"/>
  <c r="I223" i="122"/>
  <c r="I209" i="122"/>
  <c r="I41" i="122"/>
  <c r="I36" i="122"/>
  <c r="I201" i="122"/>
  <c r="I155" i="122"/>
  <c r="I62" i="122"/>
  <c r="I200" i="122"/>
  <c r="I118" i="122"/>
  <c r="I193" i="122"/>
  <c r="I222" i="122"/>
  <c r="I156" i="122"/>
  <c r="I225" i="122"/>
  <c r="I38" i="122"/>
  <c r="I203" i="122"/>
  <c r="I116" i="122"/>
  <c r="I226" i="122"/>
  <c r="I199" i="122"/>
  <c r="I197" i="122"/>
  <c r="I142" i="122"/>
  <c r="I224" i="122"/>
  <c r="I39" i="122"/>
  <c r="I61" i="122"/>
  <c r="I152" i="122"/>
  <c r="I144" i="122"/>
  <c r="I228" i="122"/>
  <c r="I40" i="122"/>
  <c r="I194" i="122"/>
  <c r="I207" i="122"/>
  <c r="I161" i="122"/>
  <c r="I60" i="122"/>
  <c r="I82" i="122"/>
  <c r="I160" i="122"/>
  <c r="I81" i="122"/>
  <c r="I141" i="122"/>
  <c r="I75" i="122"/>
  <c r="I28" i="122"/>
  <c r="I111" i="122"/>
  <c r="I51" i="122"/>
  <c r="I114" i="122"/>
  <c r="I101" i="122"/>
  <c r="I21" i="122"/>
  <c r="I184" i="122"/>
  <c r="I37" i="122"/>
  <c r="I188" i="122"/>
  <c r="I32" i="122"/>
  <c r="I33" i="122"/>
  <c r="I31" i="122"/>
  <c r="I189" i="122"/>
  <c r="I202" i="122"/>
  <c r="I25" i="122"/>
  <c r="I96" i="122"/>
  <c r="I198" i="122"/>
  <c r="I205" i="122"/>
  <c r="I23" i="122"/>
  <c r="I97" i="122"/>
  <c r="I109" i="122"/>
  <c r="I56" i="122"/>
  <c r="I57" i="122"/>
  <c r="I195" i="122"/>
  <c r="I140" i="122"/>
  <c r="I50" i="122"/>
  <c r="I107" i="122"/>
  <c r="I52" i="122"/>
  <c r="I190" i="122"/>
  <c r="I100" i="122"/>
  <c r="I48" i="122"/>
  <c r="I45" i="122"/>
  <c r="I49" i="122"/>
  <c r="I44" i="122"/>
  <c r="I47" i="122"/>
  <c r="I112" i="122"/>
  <c r="I206" i="122"/>
  <c r="I29" i="122"/>
  <c r="I26" i="122"/>
  <c r="I187" i="122"/>
  <c r="I104" i="122"/>
  <c r="I210" i="122"/>
  <c r="I59" i="122"/>
  <c r="I54" i="122"/>
  <c r="I30" i="122"/>
  <c r="I19" i="122"/>
  <c r="I110" i="122"/>
  <c r="I196" i="122"/>
  <c r="I55" i="122"/>
  <c r="I99" i="122"/>
  <c r="I192" i="122"/>
  <c r="I113" i="122"/>
  <c r="I208" i="122"/>
  <c r="I191" i="122"/>
  <c r="I204" i="122"/>
  <c r="I102" i="122"/>
  <c r="I34" i="122"/>
  <c r="I35" i="122"/>
  <c r="I78" i="122"/>
  <c r="I27" i="122"/>
  <c r="I185" i="122"/>
  <c r="I53" i="122"/>
  <c r="I24" i="122"/>
  <c r="I22" i="122"/>
  <c r="I106" i="122"/>
  <c r="I186" i="122"/>
  <c r="I20" i="122"/>
  <c r="I105" i="122"/>
  <c r="I115" i="122"/>
  <c r="I157" i="122"/>
  <c r="I117" i="122"/>
  <c r="I74" i="122"/>
  <c r="I46" i="122"/>
  <c r="I103" i="122"/>
  <c r="I108" i="122"/>
  <c r="I67" i="122"/>
  <c r="I148" i="122"/>
  <c r="I120" i="122"/>
  <c r="I43" i="122"/>
  <c r="I147" i="122"/>
  <c r="I150" i="122"/>
  <c r="I149" i="122"/>
  <c r="I162" i="122"/>
  <c r="I68" i="122"/>
  <c r="I66" i="122"/>
  <c r="I69" i="122"/>
  <c r="I146" i="122"/>
  <c r="I165" i="122"/>
  <c r="I86" i="122"/>
  <c r="I72" i="122"/>
  <c r="I154" i="122"/>
  <c r="I73" i="122"/>
  <c r="I80" i="81"/>
  <c r="I111" i="81"/>
  <c r="I115" i="81"/>
  <c r="I129" i="81"/>
  <c r="I39" i="81"/>
  <c r="I38" i="116"/>
  <c r="I37" i="116"/>
  <c r="I137" i="116"/>
  <c r="I127" i="116"/>
  <c r="I98" i="116"/>
  <c r="I143" i="116"/>
  <c r="I99" i="116"/>
  <c r="I39" i="116"/>
  <c r="I102" i="116"/>
  <c r="I62" i="116"/>
  <c r="I142" i="116"/>
  <c r="I119" i="116"/>
  <c r="I112" i="116"/>
  <c r="I139" i="116"/>
  <c r="I125" i="116"/>
  <c r="I118" i="116"/>
  <c r="I121" i="116"/>
  <c r="I140" i="116"/>
  <c r="I138" i="116"/>
  <c r="I40" i="116"/>
  <c r="I60" i="116"/>
  <c r="I61" i="116"/>
  <c r="I141" i="116"/>
  <c r="I117" i="116"/>
  <c r="I35" i="116"/>
  <c r="I63" i="116"/>
  <c r="I59" i="116"/>
  <c r="I81" i="116"/>
  <c r="I80" i="116"/>
  <c r="I74" i="116"/>
  <c r="I108" i="116"/>
  <c r="I29" i="116"/>
  <c r="I109" i="116"/>
  <c r="I23" i="116"/>
  <c r="I56" i="116"/>
  <c r="I73" i="116"/>
  <c r="I18" i="116"/>
  <c r="I115" i="116"/>
  <c r="I49" i="116"/>
  <c r="I28" i="116"/>
  <c r="I32" i="116"/>
  <c r="I111" i="116"/>
  <c r="I27" i="116"/>
  <c r="I21" i="116"/>
  <c r="I25" i="116"/>
  <c r="I48" i="116"/>
  <c r="I114" i="116"/>
  <c r="I54" i="116"/>
  <c r="I104" i="116"/>
  <c r="I123" i="116"/>
  <c r="I58" i="116"/>
  <c r="I44" i="116"/>
  <c r="I45" i="116"/>
  <c r="I50" i="116"/>
  <c r="I30" i="116"/>
  <c r="I77" i="116"/>
  <c r="I19" i="116"/>
  <c r="I100" i="116"/>
  <c r="I110" i="116"/>
  <c r="I36" i="116"/>
  <c r="I31" i="116"/>
  <c r="I51" i="116"/>
  <c r="I22" i="116"/>
  <c r="I106" i="116"/>
  <c r="I47" i="116"/>
  <c r="I33" i="116"/>
  <c r="I120" i="116"/>
  <c r="I24" i="116"/>
  <c r="I105" i="116"/>
  <c r="I20" i="116"/>
  <c r="I113" i="116"/>
  <c r="I107" i="116"/>
  <c r="I34" i="116"/>
  <c r="I124" i="116"/>
  <c r="I126" i="116"/>
  <c r="I122" i="116"/>
  <c r="I55" i="116"/>
  <c r="I52" i="116"/>
  <c r="I128" i="116"/>
  <c r="I53" i="116"/>
  <c r="I26" i="116"/>
  <c r="I46" i="116"/>
  <c r="I43" i="116"/>
  <c r="I103" i="116"/>
  <c r="I42" i="116"/>
  <c r="I68" i="116"/>
  <c r="I67" i="116"/>
  <c r="I66" i="116"/>
  <c r="I65" i="116"/>
  <c r="I64" i="116"/>
  <c r="I85" i="116"/>
  <c r="I72" i="116"/>
  <c r="I75" i="116"/>
  <c r="I71" i="116"/>
  <c r="I81" i="81"/>
  <c r="I99" i="81"/>
  <c r="I105" i="81"/>
  <c r="I126" i="81"/>
  <c r="I37" i="81"/>
  <c r="I109" i="81"/>
  <c r="I139" i="81"/>
  <c r="I128" i="81"/>
  <c r="I108" i="81"/>
  <c r="I72" i="81"/>
  <c r="I60" i="81"/>
  <c r="I98" i="81"/>
  <c r="I130" i="81"/>
  <c r="I131" i="81"/>
  <c r="I40" i="81"/>
  <c r="H96" i="122"/>
  <c r="H19" i="122"/>
  <c r="I77" i="81"/>
  <c r="I65" i="81"/>
  <c r="I100" i="81"/>
  <c r="I127" i="81"/>
  <c r="I106" i="81"/>
  <c r="I58" i="81"/>
  <c r="I112" i="81"/>
  <c r="I110" i="81"/>
  <c r="H49" i="48"/>
  <c r="H60" i="48"/>
  <c r="H110" i="118"/>
  <c r="H130" i="120"/>
  <c r="H164" i="118"/>
  <c r="H144" i="122"/>
  <c r="H143" i="122"/>
  <c r="H118" i="122"/>
  <c r="H116" i="122"/>
  <c r="H152" i="122"/>
  <c r="H142" i="122"/>
  <c r="H161" i="122"/>
  <c r="H160" i="122"/>
  <c r="H141" i="122"/>
  <c r="H156" i="122"/>
  <c r="H103" i="122"/>
  <c r="H115" i="122"/>
  <c r="H114" i="122"/>
  <c r="H100" i="122"/>
  <c r="H102" i="122"/>
  <c r="H97" i="122"/>
  <c r="H104" i="122"/>
  <c r="H109" i="122"/>
  <c r="H101" i="122"/>
  <c r="H112" i="122"/>
  <c r="H107" i="122"/>
  <c r="H113" i="122"/>
  <c r="H140" i="122"/>
  <c r="H108" i="122"/>
  <c r="H117" i="122"/>
  <c r="H111" i="122"/>
  <c r="H99" i="122"/>
  <c r="H106" i="122"/>
  <c r="H157" i="122"/>
  <c r="H110" i="122"/>
  <c r="H155" i="122"/>
  <c r="H105" i="122"/>
  <c r="H162" i="122"/>
  <c r="H150" i="122"/>
  <c r="H149" i="122"/>
  <c r="H148" i="122"/>
  <c r="H120" i="122"/>
  <c r="H147" i="122"/>
  <c r="H146" i="122"/>
  <c r="H165" i="122"/>
  <c r="H154" i="122"/>
  <c r="H193" i="122"/>
  <c r="H197" i="122"/>
  <c r="H194" i="122"/>
  <c r="H198" i="122"/>
  <c r="H196" i="122"/>
  <c r="H195" i="122"/>
  <c r="H33" i="116"/>
  <c r="H138" i="116"/>
  <c r="H61" i="116"/>
  <c r="H99" i="116"/>
  <c r="H40" i="116"/>
  <c r="H63" i="116"/>
  <c r="H60" i="116"/>
  <c r="H142" i="116"/>
  <c r="H139" i="116"/>
  <c r="H112" i="116"/>
  <c r="H121" i="116"/>
  <c r="H141" i="116"/>
  <c r="H125" i="116"/>
  <c r="H118" i="116"/>
  <c r="H37" i="116"/>
  <c r="H35" i="116"/>
  <c r="H73" i="116"/>
  <c r="H119" i="116"/>
  <c r="H39" i="116"/>
  <c r="H74" i="116"/>
  <c r="H140" i="116"/>
  <c r="H143" i="116"/>
  <c r="H102" i="116"/>
  <c r="H117" i="116"/>
  <c r="H38" i="116"/>
  <c r="H127" i="116"/>
  <c r="H62" i="116"/>
  <c r="H137" i="116"/>
  <c r="H80" i="116"/>
  <c r="H59" i="116"/>
  <c r="H81" i="116"/>
  <c r="H106" i="116"/>
  <c r="H20" i="116"/>
  <c r="H77" i="116"/>
  <c r="H58" i="116"/>
  <c r="H44" i="116"/>
  <c r="H128" i="116"/>
  <c r="H123" i="116"/>
  <c r="H114" i="116"/>
  <c r="H27" i="116"/>
  <c r="H103" i="116"/>
  <c r="H24" i="116"/>
  <c r="H104" i="116"/>
  <c r="H46" i="116"/>
  <c r="H48" i="116"/>
  <c r="H31" i="116"/>
  <c r="H107" i="116"/>
  <c r="H124" i="116"/>
  <c r="H29" i="116"/>
  <c r="H108" i="116"/>
  <c r="H109" i="116"/>
  <c r="H36" i="116"/>
  <c r="H105" i="116"/>
  <c r="H56" i="116"/>
  <c r="H111" i="116"/>
  <c r="H32" i="116"/>
  <c r="H51" i="116"/>
  <c r="H126" i="116"/>
  <c r="H21" i="116"/>
  <c r="H25" i="116"/>
  <c r="H120" i="116"/>
  <c r="H23" i="116"/>
  <c r="H49" i="116"/>
  <c r="H50" i="116"/>
  <c r="H47" i="116"/>
  <c r="H52" i="116"/>
  <c r="H53" i="116"/>
  <c r="H43" i="116"/>
  <c r="H54" i="116"/>
  <c r="H100" i="116"/>
  <c r="H115" i="116"/>
  <c r="H22" i="116"/>
  <c r="H34" i="116"/>
  <c r="H19" i="116"/>
  <c r="H55" i="116"/>
  <c r="H122" i="116"/>
  <c r="H110" i="116"/>
  <c r="H45" i="116"/>
  <c r="H30" i="116"/>
  <c r="H113" i="116"/>
  <c r="H26" i="116"/>
  <c r="H18" i="116"/>
  <c r="H28" i="116"/>
  <c r="H65" i="116"/>
  <c r="H42" i="116"/>
  <c r="H67" i="116"/>
  <c r="H66" i="116"/>
  <c r="H68" i="116"/>
  <c r="H64" i="116"/>
  <c r="H85" i="116"/>
  <c r="H72" i="116"/>
  <c r="H75" i="116"/>
  <c r="H71" i="116"/>
  <c r="H223" i="122"/>
  <c r="H227" i="122"/>
  <c r="H228" i="122"/>
  <c r="H226" i="122"/>
  <c r="H62" i="122"/>
  <c r="H63" i="122"/>
  <c r="H225" i="122"/>
  <c r="H199" i="122"/>
  <c r="H203" i="122"/>
  <c r="H222" i="122"/>
  <c r="H74" i="122"/>
  <c r="H41" i="122"/>
  <c r="H200" i="122"/>
  <c r="H209" i="122"/>
  <c r="H38" i="122"/>
  <c r="H201" i="122"/>
  <c r="H61" i="122"/>
  <c r="H39" i="122"/>
  <c r="H36" i="122"/>
  <c r="H207" i="122"/>
  <c r="H75" i="122"/>
  <c r="H40" i="122"/>
  <c r="H224" i="122"/>
  <c r="H81" i="122"/>
  <c r="H82" i="122"/>
  <c r="H60" i="122"/>
  <c r="H191" i="122"/>
  <c r="H57" i="122"/>
  <c r="H23" i="122"/>
  <c r="H51" i="122"/>
  <c r="H186" i="122"/>
  <c r="H20" i="122"/>
  <c r="H208" i="122"/>
  <c r="H189" i="122"/>
  <c r="H59" i="122"/>
  <c r="H54" i="122"/>
  <c r="H210" i="122"/>
  <c r="H24" i="122"/>
  <c r="H49" i="122"/>
  <c r="H25" i="122"/>
  <c r="H21" i="122"/>
  <c r="H46" i="122"/>
  <c r="H204" i="122"/>
  <c r="H206" i="122"/>
  <c r="H26" i="122"/>
  <c r="H47" i="122"/>
  <c r="H31" i="122"/>
  <c r="H78" i="122"/>
  <c r="H32" i="122"/>
  <c r="H29" i="122"/>
  <c r="H28" i="122"/>
  <c r="H192" i="122"/>
  <c r="H188" i="122"/>
  <c r="H35" i="122"/>
  <c r="H50" i="122"/>
  <c r="H22" i="122"/>
  <c r="H30" i="122"/>
  <c r="H55" i="122"/>
  <c r="H190" i="122"/>
  <c r="H33" i="122"/>
  <c r="H34" i="122"/>
  <c r="H187" i="122"/>
  <c r="H45" i="122"/>
  <c r="H53" i="122"/>
  <c r="H202" i="122"/>
  <c r="H185" i="122"/>
  <c r="H48" i="122"/>
  <c r="H37" i="122"/>
  <c r="H52" i="122"/>
  <c r="H27" i="122"/>
  <c r="H184" i="122"/>
  <c r="H44" i="122"/>
  <c r="H56" i="122"/>
  <c r="H43" i="122"/>
  <c r="H69" i="122"/>
  <c r="H68" i="122"/>
  <c r="H66" i="122"/>
  <c r="H67" i="122"/>
  <c r="H72" i="122"/>
  <c r="H65" i="122"/>
  <c r="H86" i="122"/>
  <c r="H73" i="122"/>
  <c r="E80" i="122"/>
  <c r="F80" i="122" s="1"/>
  <c r="E159" i="122"/>
  <c r="F159" i="122" s="1"/>
  <c r="E78" i="120"/>
  <c r="F78" i="120" s="1"/>
  <c r="E79" i="122"/>
  <c r="F79" i="122" s="1"/>
  <c r="E158" i="122"/>
  <c r="F158" i="122" s="1"/>
  <c r="E77" i="120"/>
  <c r="F77" i="120" s="1"/>
  <c r="I77" i="120" s="1"/>
  <c r="E64" i="118"/>
  <c r="F64" i="118" s="1"/>
  <c r="E79" i="116"/>
  <c r="F79" i="116" s="1"/>
  <c r="E80" i="63"/>
  <c r="F80" i="63" s="1"/>
  <c r="C10" i="92"/>
  <c r="C22" i="54" s="1"/>
  <c r="E78" i="81"/>
  <c r="F78" i="81" s="1"/>
  <c r="I78" i="81" s="1"/>
  <c r="E63" i="118"/>
  <c r="F63" i="118" s="1"/>
  <c r="E78" i="116"/>
  <c r="F78" i="116" s="1"/>
  <c r="E79" i="63"/>
  <c r="F79" i="63" s="1"/>
  <c r="H193" i="92"/>
  <c r="E79" i="81"/>
  <c r="F79" i="81" s="1"/>
  <c r="I79" i="81" s="1"/>
  <c r="E65" i="92"/>
  <c r="F65" i="92" s="1"/>
  <c r="H71" i="81"/>
  <c r="H72" i="81"/>
  <c r="H104" i="81"/>
  <c r="H102" i="81"/>
  <c r="H105" i="81"/>
  <c r="H101" i="81"/>
  <c r="H100" i="81"/>
  <c r="H99" i="81"/>
  <c r="H116" i="81"/>
  <c r="H108" i="81"/>
  <c r="H107" i="81"/>
  <c r="H106" i="81"/>
  <c r="H111" i="81"/>
  <c r="H117" i="81"/>
  <c r="H109" i="81"/>
  <c r="H98" i="81"/>
  <c r="H113" i="81"/>
  <c r="H130" i="81"/>
  <c r="H129" i="81"/>
  <c r="H131" i="81"/>
  <c r="H127" i="81"/>
  <c r="H112" i="81"/>
  <c r="H126" i="81"/>
  <c r="H128" i="81"/>
  <c r="H110" i="81"/>
  <c r="H115" i="81"/>
  <c r="H114" i="81"/>
  <c r="H132" i="81"/>
  <c r="H139" i="81"/>
  <c r="E64" i="92"/>
  <c r="F64" i="92" s="1"/>
  <c r="G144" i="82"/>
  <c r="G145" i="82"/>
  <c r="H135" i="82" s="1"/>
  <c r="H103" i="81"/>
  <c r="G143" i="82"/>
  <c r="H132" i="82" s="1"/>
  <c r="H136" i="82" l="1"/>
  <c r="D79" i="48" s="1"/>
  <c r="D80" i="48" s="1"/>
  <c r="F139" i="118"/>
  <c r="F139" i="92"/>
  <c r="H139" i="92" s="1"/>
  <c r="F137" i="92"/>
  <c r="H137" i="92" s="1"/>
  <c r="E169" i="63"/>
  <c r="E170" i="63" s="1"/>
  <c r="D169" i="63"/>
  <c r="D267" i="122"/>
  <c r="D268" i="122" s="1"/>
  <c r="E156" i="120"/>
  <c r="E157" i="120" s="1"/>
  <c r="E159" i="120" s="1"/>
  <c r="E7" i="120" s="1"/>
  <c r="D214" i="92"/>
  <c r="D215" i="92" s="1"/>
  <c r="I238" i="122"/>
  <c r="H150" i="116"/>
  <c r="H61" i="124"/>
  <c r="I61" i="124"/>
  <c r="F63" i="124"/>
  <c r="E206" i="118"/>
  <c r="E207" i="118" s="1"/>
  <c r="F206" i="118"/>
  <c r="F207" i="118" s="1"/>
  <c r="F188" i="118"/>
  <c r="E188" i="118"/>
  <c r="E189" i="118" s="1"/>
  <c r="H121" i="118"/>
  <c r="J121" i="118"/>
  <c r="I121" i="118"/>
  <c r="I63" i="118"/>
  <c r="J63" i="118"/>
  <c r="H176" i="118"/>
  <c r="J176" i="118"/>
  <c r="I176" i="118"/>
  <c r="H64" i="118"/>
  <c r="J64" i="118"/>
  <c r="I64" i="118"/>
  <c r="H159" i="122"/>
  <c r="I159" i="122"/>
  <c r="H80" i="122"/>
  <c r="I80" i="122"/>
  <c r="H79" i="116"/>
  <c r="I79" i="116"/>
  <c r="H141" i="120"/>
  <c r="I141" i="120"/>
  <c r="H158" i="122"/>
  <c r="I158" i="122"/>
  <c r="H78" i="120"/>
  <c r="I78" i="120"/>
  <c r="H78" i="116"/>
  <c r="I78" i="116"/>
  <c r="H79" i="122"/>
  <c r="I79" i="122"/>
  <c r="E72" i="124"/>
  <c r="E73" i="124" s="1"/>
  <c r="E90" i="124"/>
  <c r="E91" i="124" s="1"/>
  <c r="D72" i="124"/>
  <c r="D73" i="124" s="1"/>
  <c r="D90" i="124"/>
  <c r="D91" i="124" s="1"/>
  <c r="F25" i="48"/>
  <c r="H25" i="48" s="1"/>
  <c r="F17" i="48"/>
  <c r="F23" i="48"/>
  <c r="H23" i="48" s="1"/>
  <c r="F21" i="48"/>
  <c r="H21" i="48" s="1"/>
  <c r="F19" i="48"/>
  <c r="H19" i="48" s="1"/>
  <c r="D72" i="48"/>
  <c r="D73" i="48" s="1"/>
  <c r="F147" i="92"/>
  <c r="H147" i="92" s="1"/>
  <c r="F149" i="92"/>
  <c r="H149" i="92" s="1"/>
  <c r="F141" i="92"/>
  <c r="F151" i="92"/>
  <c r="H151" i="92" s="1"/>
  <c r="F145" i="92"/>
  <c r="H145" i="92" s="1"/>
  <c r="F143" i="92"/>
  <c r="H143" i="92" s="1"/>
  <c r="H77" i="120"/>
  <c r="F85" i="120"/>
  <c r="I85" i="120" s="1"/>
  <c r="D249" i="122"/>
  <c r="D250" i="122" s="1"/>
  <c r="E249" i="122"/>
  <c r="E250" i="122" s="1"/>
  <c r="E267" i="122"/>
  <c r="E268" i="122" s="1"/>
  <c r="D156" i="120"/>
  <c r="D157" i="120" s="1"/>
  <c r="D159" i="120" s="1"/>
  <c r="C7" i="120" s="1"/>
  <c r="C19" i="119" s="1"/>
  <c r="H63" i="118"/>
  <c r="F69" i="118"/>
  <c r="F137" i="118"/>
  <c r="H137" i="118" s="1"/>
  <c r="E160" i="63"/>
  <c r="E161" i="63" s="1"/>
  <c r="D160" i="63"/>
  <c r="D188" i="118"/>
  <c r="D189" i="118" s="1"/>
  <c r="D206" i="118"/>
  <c r="D207" i="118" s="1"/>
  <c r="D161" i="116"/>
  <c r="D162" i="116" s="1"/>
  <c r="D179" i="116"/>
  <c r="D180" i="116" s="1"/>
  <c r="E179" i="116"/>
  <c r="E180" i="116" s="1"/>
  <c r="E161" i="116"/>
  <c r="E162" i="116" s="1"/>
  <c r="D205" i="92"/>
  <c r="D206" i="92" s="1"/>
  <c r="D223" i="92"/>
  <c r="D224" i="92" s="1"/>
  <c r="E150" i="81"/>
  <c r="E151" i="81" s="1"/>
  <c r="D150" i="81"/>
  <c r="D151" i="81" s="1"/>
  <c r="E168" i="81"/>
  <c r="E169" i="81" s="1"/>
  <c r="D168" i="81"/>
  <c r="D169" i="81" s="1"/>
  <c r="F70" i="92"/>
  <c r="F72" i="92" s="1"/>
  <c r="H61" i="81"/>
  <c r="H81" i="81"/>
  <c r="H80" i="81"/>
  <c r="H79" i="81"/>
  <c r="H59" i="81"/>
  <c r="H60" i="81"/>
  <c r="H62" i="81"/>
  <c r="H40" i="81"/>
  <c r="H78" i="81"/>
  <c r="E43" i="81"/>
  <c r="F43" i="81" s="1"/>
  <c r="I43" i="81" s="1"/>
  <c r="H65" i="81"/>
  <c r="H66" i="81"/>
  <c r="H67" i="81"/>
  <c r="H68" i="81"/>
  <c r="H39" i="81"/>
  <c r="H38" i="81"/>
  <c r="H37" i="81"/>
  <c r="E197" i="118" l="1"/>
  <c r="E198" i="118" s="1"/>
  <c r="E209" i="118" s="1"/>
  <c r="E8" i="118" s="1"/>
  <c r="D258" i="122"/>
  <c r="D259" i="122" s="1"/>
  <c r="D270" i="122" s="1"/>
  <c r="C8" i="122" s="1"/>
  <c r="D170" i="116"/>
  <c r="D171" i="116" s="1"/>
  <c r="D182" i="116" s="1"/>
  <c r="C7" i="116" s="1"/>
  <c r="C19" i="115" s="1"/>
  <c r="D226" i="92"/>
  <c r="C9" i="92" s="1"/>
  <c r="C21" i="54" s="1"/>
  <c r="E172" i="63"/>
  <c r="E7" i="63" s="1"/>
  <c r="D159" i="81"/>
  <c r="D160" i="81" s="1"/>
  <c r="D171" i="81" s="1"/>
  <c r="C7" i="81" s="1"/>
  <c r="E258" i="122"/>
  <c r="E259" i="122" s="1"/>
  <c r="E270" i="122" s="1"/>
  <c r="E8" i="122" s="1"/>
  <c r="D81" i="124"/>
  <c r="D82" i="124" s="1"/>
  <c r="D93" i="124" s="1"/>
  <c r="C6" i="124" s="1"/>
  <c r="C19" i="123" s="1"/>
  <c r="E81" i="124"/>
  <c r="E82" i="124" s="1"/>
  <c r="E93" i="124" s="1"/>
  <c r="E6" i="124" s="1"/>
  <c r="D82" i="48"/>
  <c r="C6" i="48" s="1"/>
  <c r="C19" i="107" s="1"/>
  <c r="H139" i="118"/>
  <c r="I139" i="118"/>
  <c r="J139" i="118"/>
  <c r="E159" i="81"/>
  <c r="E160" i="81" s="1"/>
  <c r="E171" i="81" s="1"/>
  <c r="E7" i="81" s="1"/>
  <c r="E170" i="116"/>
  <c r="E171" i="116" s="1"/>
  <c r="E182" i="116" s="1"/>
  <c r="E7" i="116" s="1"/>
  <c r="D197" i="118"/>
  <c r="D198" i="118" s="1"/>
  <c r="D209" i="118" s="1"/>
  <c r="C8" i="118" s="1"/>
  <c r="C20" i="117" s="1"/>
  <c r="F197" i="118"/>
  <c r="F198" i="118" s="1"/>
  <c r="H141" i="92"/>
  <c r="F61" i="48"/>
  <c r="I63" i="124"/>
  <c r="E5" i="124" s="1"/>
  <c r="H63" i="124"/>
  <c r="C5" i="124" s="1"/>
  <c r="C18" i="123" s="1"/>
  <c r="F189" i="118"/>
  <c r="I137" i="118"/>
  <c r="J137" i="118"/>
  <c r="J69" i="118"/>
  <c r="I69" i="118"/>
  <c r="H17" i="48"/>
  <c r="F87" i="120"/>
  <c r="I87" i="120" s="1"/>
  <c r="E5" i="120" s="1"/>
  <c r="H85" i="120"/>
  <c r="H69" i="118"/>
  <c r="F71" i="118"/>
  <c r="D42" i="81"/>
  <c r="E55" i="81"/>
  <c r="E53" i="81"/>
  <c r="E49" i="81"/>
  <c r="E52" i="81"/>
  <c r="E47" i="81"/>
  <c r="E56" i="81"/>
  <c r="E50" i="81"/>
  <c r="E48" i="81"/>
  <c r="E51" i="81"/>
  <c r="E45" i="81"/>
  <c r="E46" i="81"/>
  <c r="E54" i="81"/>
  <c r="E44" i="81"/>
  <c r="C19" i="58" l="1"/>
  <c r="C20" i="121"/>
  <c r="F209" i="118"/>
  <c r="H8" i="118" s="1"/>
  <c r="C4" i="124"/>
  <c r="D6" i="124" s="1"/>
  <c r="H71" i="118"/>
  <c r="C5" i="118" s="1"/>
  <c r="C17" i="117" s="1"/>
  <c r="J71" i="118"/>
  <c r="H5" i="118" s="1"/>
  <c r="I71" i="118"/>
  <c r="E5" i="118" s="1"/>
  <c r="C15" i="123"/>
  <c r="E4" i="124"/>
  <c r="F6" i="124" s="1"/>
  <c r="H61" i="48"/>
  <c r="F62" i="48"/>
  <c r="H62" i="48" s="1"/>
  <c r="C5" i="48" s="1"/>
  <c r="C18" i="107" s="1"/>
  <c r="F105" i="120"/>
  <c r="H87" i="120"/>
  <c r="F83" i="118"/>
  <c r="F122" i="118" s="1"/>
  <c r="C74" i="96"/>
  <c r="D75" i="81"/>
  <c r="E75" i="81" s="1"/>
  <c r="E73" i="96"/>
  <c r="D76" i="122" s="1"/>
  <c r="E76" i="122" s="1"/>
  <c r="F76" i="122" s="1"/>
  <c r="E74" i="96"/>
  <c r="D77" i="122" s="1"/>
  <c r="F47" i="81"/>
  <c r="F45" i="81"/>
  <c r="F52" i="81"/>
  <c r="F53" i="81"/>
  <c r="F44" i="81"/>
  <c r="F46" i="81"/>
  <c r="F48" i="81"/>
  <c r="F50" i="81"/>
  <c r="F49" i="81"/>
  <c r="F55" i="81"/>
  <c r="F54" i="81"/>
  <c r="F51" i="81"/>
  <c r="F56" i="81"/>
  <c r="E42" i="81"/>
  <c r="G20" i="123" l="1"/>
  <c r="G15" i="123"/>
  <c r="D7" i="124"/>
  <c r="D5" i="124"/>
  <c r="I105" i="120"/>
  <c r="F142" i="120"/>
  <c r="I142" i="120" s="1"/>
  <c r="J83" i="118"/>
  <c r="I83" i="118"/>
  <c r="H54" i="81"/>
  <c r="I54" i="81"/>
  <c r="H49" i="81"/>
  <c r="I49" i="81"/>
  <c r="H50" i="81"/>
  <c r="I50" i="81"/>
  <c r="H46" i="81"/>
  <c r="I46" i="81"/>
  <c r="H55" i="81"/>
  <c r="I55" i="81"/>
  <c r="H45" i="81"/>
  <c r="I45" i="81"/>
  <c r="H47" i="81"/>
  <c r="I47" i="81"/>
  <c r="H76" i="122"/>
  <c r="I76" i="122"/>
  <c r="H56" i="81"/>
  <c r="I56" i="81"/>
  <c r="H44" i="81"/>
  <c r="I44" i="81"/>
  <c r="H52" i="81"/>
  <c r="I52" i="81"/>
  <c r="H48" i="81"/>
  <c r="I48" i="81"/>
  <c r="H51" i="81"/>
  <c r="I51" i="81"/>
  <c r="H53" i="81"/>
  <c r="I53" i="81"/>
  <c r="F5" i="124"/>
  <c r="F7" i="124"/>
  <c r="C15" i="107"/>
  <c r="C4" i="48"/>
  <c r="D5" i="48" s="1"/>
  <c r="E77" i="122"/>
  <c r="F77" i="122" s="1"/>
  <c r="C5" i="120"/>
  <c r="C17" i="119" s="1"/>
  <c r="H105" i="120"/>
  <c r="H83" i="118"/>
  <c r="D76" i="81"/>
  <c r="E76" i="81" s="1"/>
  <c r="F76" i="81" s="1"/>
  <c r="E76" i="116"/>
  <c r="F76" i="116" s="1"/>
  <c r="F75" i="81"/>
  <c r="F42" i="81"/>
  <c r="I42" i="81" s="1"/>
  <c r="H43" i="81"/>
  <c r="J122" i="118" l="1"/>
  <c r="I122" i="118"/>
  <c r="H75" i="81"/>
  <c r="I75" i="81"/>
  <c r="H76" i="116"/>
  <c r="I76" i="116"/>
  <c r="H77" i="122"/>
  <c r="I77" i="122"/>
  <c r="H76" i="81"/>
  <c r="I76" i="81"/>
  <c r="D7" i="48"/>
  <c r="D6" i="48"/>
  <c r="G20" i="107"/>
  <c r="G15" i="107"/>
  <c r="H142" i="120"/>
  <c r="F143" i="120"/>
  <c r="H122" i="118"/>
  <c r="F123" i="118"/>
  <c r="F125" i="118" s="1"/>
  <c r="F136" i="118" s="1"/>
  <c r="H136" i="118" s="1"/>
  <c r="H42" i="81"/>
  <c r="M136" i="118" l="1"/>
  <c r="I123" i="118"/>
  <c r="E6" i="118" s="1"/>
  <c r="J123" i="118"/>
  <c r="H6" i="118" s="1"/>
  <c r="H143" i="120"/>
  <c r="C6" i="120" s="1"/>
  <c r="C18" i="119" s="1"/>
  <c r="C15" i="119" s="1"/>
  <c r="G15" i="119" s="1"/>
  <c r="I143" i="120"/>
  <c r="E6" i="120" s="1"/>
  <c r="H123" i="118"/>
  <c r="C6" i="118" s="1"/>
  <c r="C18" i="117" s="1"/>
  <c r="E4" i="120" l="1"/>
  <c r="C4" i="120"/>
  <c r="D6" i="120" s="1"/>
  <c r="BZ128" i="118"/>
  <c r="CB83" i="118"/>
  <c r="J136" i="118" l="1"/>
  <c r="I136" i="118"/>
  <c r="G20" i="119"/>
  <c r="F7" i="120"/>
  <c r="F8" i="120"/>
  <c r="F5" i="120"/>
  <c r="D7" i="120"/>
  <c r="D8" i="120"/>
  <c r="D5" i="120"/>
  <c r="F6" i="120"/>
  <c r="F177" i="118"/>
  <c r="I177" i="118" l="1"/>
  <c r="J177" i="118"/>
  <c r="F178" i="118"/>
  <c r="H177" i="118"/>
  <c r="P138" i="118" l="1"/>
  <c r="Q138" i="118" s="1"/>
  <c r="P136" i="118"/>
  <c r="H178" i="118"/>
  <c r="C7" i="118" s="1"/>
  <c r="J178" i="118"/>
  <c r="H7" i="118" s="1"/>
  <c r="H4" i="118" s="1"/>
  <c r="I178" i="118"/>
  <c r="E7" i="118" s="1"/>
  <c r="E4" i="118" s="1"/>
  <c r="E95" i="63"/>
  <c r="D94" i="63"/>
  <c r="E94" i="63" s="1"/>
  <c r="E17" i="63"/>
  <c r="F17" i="63" s="1"/>
  <c r="Q136" i="118" l="1"/>
  <c r="Q140" i="118" s="1"/>
  <c r="P140" i="118"/>
  <c r="C4" i="118"/>
  <c r="D5" i="118" s="1"/>
  <c r="C19" i="117"/>
  <c r="C15" i="117" s="1"/>
  <c r="F5" i="118"/>
  <c r="F9" i="118"/>
  <c r="F6" i="118"/>
  <c r="F7" i="118"/>
  <c r="F8" i="118"/>
  <c r="I9" i="118"/>
  <c r="I5" i="118"/>
  <c r="I7" i="118"/>
  <c r="I6" i="118"/>
  <c r="I8" i="118"/>
  <c r="E15" i="63"/>
  <c r="E92" i="63"/>
  <c r="S136" i="118" l="1"/>
  <c r="S138" i="118"/>
  <c r="D7" i="118"/>
  <c r="D170" i="63"/>
  <c r="G15" i="117"/>
  <c r="G20" i="117"/>
  <c r="D6" i="118"/>
  <c r="D8" i="118"/>
  <c r="D9" i="118"/>
  <c r="D161" i="63"/>
  <c r="F92" i="63"/>
  <c r="H106" i="63" s="1"/>
  <c r="F96" i="63"/>
  <c r="F98" i="63"/>
  <c r="F99" i="63"/>
  <c r="F97" i="63"/>
  <c r="F93" i="63"/>
  <c r="I141" i="63" s="1"/>
  <c r="F95" i="63"/>
  <c r="F94" i="63"/>
  <c r="E42" i="63"/>
  <c r="F42" i="63" s="1"/>
  <c r="E73" i="63"/>
  <c r="F73" i="63" s="1"/>
  <c r="E75" i="63"/>
  <c r="F75" i="63" s="1"/>
  <c r="E57" i="63"/>
  <c r="F57" i="63" s="1"/>
  <c r="E18" i="63"/>
  <c r="F18" i="63" s="1"/>
  <c r="E46" i="63"/>
  <c r="F46" i="63" s="1"/>
  <c r="E56" i="63"/>
  <c r="F56" i="63" s="1"/>
  <c r="E43" i="63"/>
  <c r="F43" i="63" s="1"/>
  <c r="E50" i="63"/>
  <c r="F50" i="63" s="1"/>
  <c r="E53" i="63"/>
  <c r="F53" i="63" s="1"/>
  <c r="E51" i="63"/>
  <c r="F51" i="63" s="1"/>
  <c r="E48" i="63"/>
  <c r="F48" i="63" s="1"/>
  <c r="E47" i="63"/>
  <c r="F47" i="63" s="1"/>
  <c r="E59" i="63"/>
  <c r="F59" i="63" s="1"/>
  <c r="E49" i="63"/>
  <c r="F49" i="63" s="1"/>
  <c r="E55" i="63"/>
  <c r="F55" i="63" s="1"/>
  <c r="E52" i="63"/>
  <c r="F52" i="63" s="1"/>
  <c r="E45" i="63"/>
  <c r="F45" i="63" s="1"/>
  <c r="E44" i="63"/>
  <c r="F44" i="63" s="1"/>
  <c r="E58" i="63"/>
  <c r="F58" i="63" s="1"/>
  <c r="E54" i="63"/>
  <c r="F54" i="63" s="1"/>
  <c r="H122" i="63" l="1"/>
  <c r="D172" i="63"/>
  <c r="C7" i="63" s="1"/>
  <c r="C19" i="43" s="1"/>
  <c r="H141" i="63"/>
  <c r="H140" i="63"/>
  <c r="H139" i="63"/>
  <c r="H138" i="63"/>
  <c r="I121" i="63"/>
  <c r="I137" i="63"/>
  <c r="I138" i="63"/>
  <c r="I139" i="63"/>
  <c r="H137" i="63"/>
  <c r="H121" i="63"/>
  <c r="I18" i="63"/>
  <c r="I75" i="63"/>
  <c r="I73" i="63"/>
  <c r="I147" i="63"/>
  <c r="I77" i="63"/>
  <c r="I132" i="63"/>
  <c r="I146" i="63"/>
  <c r="I81" i="63"/>
  <c r="I125" i="63"/>
  <c r="I123" i="63"/>
  <c r="I127" i="63"/>
  <c r="I68" i="63"/>
  <c r="I71" i="63"/>
  <c r="I66" i="63"/>
  <c r="I126" i="63"/>
  <c r="I32" i="63"/>
  <c r="I119" i="63"/>
  <c r="I67" i="63"/>
  <c r="I35" i="63"/>
  <c r="I116" i="63"/>
  <c r="I82" i="63"/>
  <c r="I108" i="63"/>
  <c r="I76" i="63"/>
  <c r="I37" i="63"/>
  <c r="I145" i="63"/>
  <c r="I34" i="63"/>
  <c r="I24" i="63"/>
  <c r="I124" i="63"/>
  <c r="I27" i="63"/>
  <c r="I83" i="63"/>
  <c r="I114" i="63"/>
  <c r="I39" i="63"/>
  <c r="I29" i="63"/>
  <c r="I61" i="63"/>
  <c r="I69" i="63"/>
  <c r="I143" i="63"/>
  <c r="I30" i="63"/>
  <c r="I128" i="63"/>
  <c r="I106" i="63"/>
  <c r="I130" i="63"/>
  <c r="I63" i="63"/>
  <c r="I65" i="63"/>
  <c r="I25" i="63"/>
  <c r="I26" i="63"/>
  <c r="I129" i="63"/>
  <c r="I78" i="63"/>
  <c r="I70" i="63"/>
  <c r="I142" i="63"/>
  <c r="I62" i="63"/>
  <c r="I133" i="63"/>
  <c r="I36" i="63"/>
  <c r="I117" i="63"/>
  <c r="I102" i="63"/>
  <c r="I144" i="63"/>
  <c r="I64" i="63"/>
  <c r="I20" i="63"/>
  <c r="I22" i="63"/>
  <c r="I28" i="63"/>
  <c r="I33" i="63"/>
  <c r="I118" i="63"/>
  <c r="I103" i="63"/>
  <c r="I111" i="63"/>
  <c r="I109" i="63"/>
  <c r="I107" i="63"/>
  <c r="I135" i="63"/>
  <c r="I120" i="63"/>
  <c r="I23" i="63"/>
  <c r="I38" i="63"/>
  <c r="I31" i="63"/>
  <c r="I21" i="63"/>
  <c r="I115" i="63"/>
  <c r="I122" i="63"/>
  <c r="I131" i="63"/>
  <c r="I140" i="63"/>
  <c r="I112" i="63"/>
  <c r="I110" i="63"/>
  <c r="I136" i="63"/>
  <c r="I149" i="63"/>
  <c r="I80" i="63"/>
  <c r="I79" i="63"/>
  <c r="I17" i="63"/>
  <c r="H17" i="63"/>
  <c r="H75" i="63"/>
  <c r="H73" i="63"/>
  <c r="H18" i="63"/>
  <c r="H78" i="63"/>
  <c r="H144" i="63"/>
  <c r="H23" i="63"/>
  <c r="H27" i="63"/>
  <c r="H26" i="63"/>
  <c r="H127" i="63"/>
  <c r="H103" i="63"/>
  <c r="H142" i="63"/>
  <c r="H135" i="63"/>
  <c r="H143" i="63"/>
  <c r="H64" i="63"/>
  <c r="H29" i="63"/>
  <c r="H38" i="63"/>
  <c r="H133" i="63"/>
  <c r="H108" i="63"/>
  <c r="H80" i="63"/>
  <c r="H83" i="63"/>
  <c r="H147" i="63"/>
  <c r="H62" i="63"/>
  <c r="H31" i="63"/>
  <c r="H71" i="63"/>
  <c r="H36" i="63"/>
  <c r="H132" i="63"/>
  <c r="H120" i="63"/>
  <c r="H79" i="63"/>
  <c r="H136" i="63"/>
  <c r="H145" i="63"/>
  <c r="H61" i="63"/>
  <c r="H22" i="63"/>
  <c r="H32" i="63"/>
  <c r="H25" i="63"/>
  <c r="H117" i="63"/>
  <c r="H109" i="63"/>
  <c r="H107" i="63"/>
  <c r="H69" i="63"/>
  <c r="H67" i="63"/>
  <c r="H125" i="63"/>
  <c r="H130" i="63"/>
  <c r="H63" i="63"/>
  <c r="H68" i="63"/>
  <c r="H30" i="63"/>
  <c r="H33" i="63"/>
  <c r="H131" i="63"/>
  <c r="H123" i="63"/>
  <c r="H119" i="63"/>
  <c r="H110" i="63"/>
  <c r="H82" i="63"/>
  <c r="H20" i="63"/>
  <c r="H66" i="63"/>
  <c r="H35" i="63"/>
  <c r="H21" i="63"/>
  <c r="H124" i="63"/>
  <c r="H118" i="63"/>
  <c r="H114" i="63"/>
  <c r="H39" i="63"/>
  <c r="H112" i="63"/>
  <c r="H81" i="63"/>
  <c r="H65" i="63"/>
  <c r="H77" i="63"/>
  <c r="H37" i="63"/>
  <c r="H34" i="63"/>
  <c r="H126" i="63"/>
  <c r="H115" i="63"/>
  <c r="H111" i="63"/>
  <c r="H128" i="63"/>
  <c r="H149" i="63"/>
  <c r="H146" i="63"/>
  <c r="H76" i="63"/>
  <c r="H70" i="63"/>
  <c r="H24" i="63"/>
  <c r="H28" i="63"/>
  <c r="H129" i="63"/>
  <c r="H116" i="63"/>
  <c r="H102" i="63"/>
  <c r="E41" i="63"/>
  <c r="C7" i="59"/>
  <c r="C6" i="59"/>
  <c r="C99" i="38" l="1"/>
  <c r="C100" i="38" s="1"/>
  <c r="C101" i="38" s="1"/>
  <c r="D93" i="38" l="1"/>
  <c r="F89" i="38"/>
  <c r="E88" i="38"/>
  <c r="F88" i="38" s="1"/>
  <c r="E87" i="38"/>
  <c r="F87" i="38" s="1"/>
  <c r="F90" i="38" l="1"/>
  <c r="F41" i="63" l="1"/>
  <c r="I41" i="63" s="1"/>
  <c r="H41" i="63" l="1"/>
  <c r="F86" i="63"/>
  <c r="H86" i="63" l="1"/>
  <c r="I86" i="63"/>
  <c r="F84" i="92" l="1"/>
  <c r="F123" i="92" s="1"/>
  <c r="E25" i="81"/>
  <c r="E36" i="81"/>
  <c r="E38" i="81"/>
  <c r="E63" i="81"/>
  <c r="F63" i="81" s="1"/>
  <c r="H64" i="81"/>
  <c r="E29" i="81"/>
  <c r="E24" i="81"/>
  <c r="E26" i="81"/>
  <c r="E22" i="81"/>
  <c r="F22" i="81" s="1"/>
  <c r="I22" i="81" s="1"/>
  <c r="E30" i="81"/>
  <c r="E35" i="81"/>
  <c r="E27" i="81"/>
  <c r="E23" i="81"/>
  <c r="E39" i="81"/>
  <c r="E33" i="81"/>
  <c r="E32" i="81"/>
  <c r="E20" i="81"/>
  <c r="E28" i="81"/>
  <c r="E34" i="81"/>
  <c r="E31" i="81"/>
  <c r="E82" i="81" l="1"/>
  <c r="F82" i="81" s="1"/>
  <c r="F24" i="81"/>
  <c r="F35" i="81"/>
  <c r="F30" i="81"/>
  <c r="F23" i="81"/>
  <c r="F31" i="81"/>
  <c r="F36" i="81"/>
  <c r="F33" i="81"/>
  <c r="F29" i="81"/>
  <c r="F27" i="81"/>
  <c r="F34" i="81"/>
  <c r="F28" i="81"/>
  <c r="F20" i="81"/>
  <c r="F32" i="81"/>
  <c r="F26" i="81"/>
  <c r="F25" i="81"/>
  <c r="H22" i="81"/>
  <c r="H77" i="81"/>
  <c r="E21" i="81"/>
  <c r="C48" i="96" s="1"/>
  <c r="C53" i="96" s="1"/>
  <c r="E18" i="81"/>
  <c r="H58" i="81"/>
  <c r="E19" i="81"/>
  <c r="H36" i="81" l="1"/>
  <c r="I36" i="81"/>
  <c r="H31" i="81"/>
  <c r="I31" i="81"/>
  <c r="H23" i="81"/>
  <c r="I23" i="81"/>
  <c r="H26" i="81"/>
  <c r="I26" i="81"/>
  <c r="H30" i="81"/>
  <c r="I30" i="81"/>
  <c r="H35" i="81"/>
  <c r="I35" i="81"/>
  <c r="H32" i="81"/>
  <c r="I32" i="81"/>
  <c r="H28" i="81"/>
  <c r="I28" i="81"/>
  <c r="H27" i="81"/>
  <c r="I27" i="81"/>
  <c r="H24" i="81"/>
  <c r="I24" i="81"/>
  <c r="H20" i="81"/>
  <c r="I20" i="81"/>
  <c r="H34" i="81"/>
  <c r="I34" i="81"/>
  <c r="H29" i="81"/>
  <c r="I29" i="81"/>
  <c r="H63" i="81"/>
  <c r="I63" i="81"/>
  <c r="H25" i="81"/>
  <c r="I25" i="81"/>
  <c r="H33" i="81"/>
  <c r="I33" i="81"/>
  <c r="H82" i="81"/>
  <c r="I82" i="81"/>
  <c r="E73" i="81"/>
  <c r="F73" i="81" s="1"/>
  <c r="C52" i="96"/>
  <c r="E74" i="81"/>
  <c r="F21" i="81"/>
  <c r="F19" i="81"/>
  <c r="F18" i="81"/>
  <c r="H18" i="81" l="1"/>
  <c r="I18" i="81"/>
  <c r="F85" i="81"/>
  <c r="I85" i="81" s="1"/>
  <c r="H19" i="81"/>
  <c r="I19" i="81"/>
  <c r="H21" i="81"/>
  <c r="I21" i="81"/>
  <c r="H73" i="81"/>
  <c r="I73" i="81"/>
  <c r="C54" i="96"/>
  <c r="E71" i="122" s="1"/>
  <c r="F71" i="122" s="1"/>
  <c r="F85" i="122" s="1"/>
  <c r="H85" i="122" s="1"/>
  <c r="E70" i="116"/>
  <c r="F70" i="116" s="1"/>
  <c r="I70" i="116" l="1"/>
  <c r="F84" i="116"/>
  <c r="F86" i="116" s="1"/>
  <c r="F97" i="116" s="1"/>
  <c r="H85" i="81"/>
  <c r="H71" i="122"/>
  <c r="I71" i="122"/>
  <c r="D70" i="81"/>
  <c r="H70" i="116"/>
  <c r="F74" i="81"/>
  <c r="I84" i="116" l="1"/>
  <c r="H74" i="81"/>
  <c r="I74" i="81"/>
  <c r="I85" i="122"/>
  <c r="F87" i="122"/>
  <c r="H87" i="122" s="1"/>
  <c r="H84" i="116"/>
  <c r="I86" i="116"/>
  <c r="E5" i="116" s="1"/>
  <c r="E70" i="81"/>
  <c r="F70" i="81" s="1"/>
  <c r="F84" i="81" l="1"/>
  <c r="I70" i="81"/>
  <c r="C5" i="122"/>
  <c r="I87" i="122"/>
  <c r="E5" i="122" s="1"/>
  <c r="F182" i="122"/>
  <c r="H86" i="116"/>
  <c r="F151" i="116"/>
  <c r="H70" i="81"/>
  <c r="C17" i="121" l="1"/>
  <c r="H151" i="116"/>
  <c r="F152" i="116"/>
  <c r="I182" i="122"/>
  <c r="F86" i="81"/>
  <c r="I84" i="81"/>
  <c r="I151" i="116"/>
  <c r="I97" i="116"/>
  <c r="H182" i="122"/>
  <c r="H97" i="116"/>
  <c r="C5" i="116"/>
  <c r="C17" i="115" s="1"/>
  <c r="H84" i="81"/>
  <c r="F97" i="81" l="1"/>
  <c r="F140" i="81" s="1"/>
  <c r="I140" i="81" s="1"/>
  <c r="H86" i="81"/>
  <c r="C5" i="81" s="1"/>
  <c r="I86" i="81"/>
  <c r="E5" i="81" s="1"/>
  <c r="H97" i="81" l="1"/>
  <c r="I97" i="81"/>
  <c r="C17" i="58"/>
  <c r="H152" i="116"/>
  <c r="C6" i="116" s="1"/>
  <c r="C18" i="115" s="1"/>
  <c r="I152" i="116"/>
  <c r="E6" i="116" s="1"/>
  <c r="F141" i="81"/>
  <c r="H140" i="81"/>
  <c r="H141" i="81" l="1"/>
  <c r="C6" i="81" s="1"/>
  <c r="I141" i="81"/>
  <c r="E6" i="81" s="1"/>
  <c r="C15" i="115"/>
  <c r="C4" i="116"/>
  <c r="E4" i="116"/>
  <c r="F6" i="116" s="1"/>
  <c r="C18" i="58" l="1"/>
  <c r="C15" i="58" s="1"/>
  <c r="F8" i="116"/>
  <c r="F7" i="116"/>
  <c r="F5" i="116"/>
  <c r="D7" i="116"/>
  <c r="D8" i="116"/>
  <c r="D5" i="116"/>
  <c r="D6" i="116"/>
  <c r="G20" i="115"/>
  <c r="G15" i="115"/>
  <c r="C4" i="81"/>
  <c r="E4" i="81"/>
  <c r="D5" i="81" l="1"/>
  <c r="D8" i="81"/>
  <c r="D7" i="81"/>
  <c r="F6" i="81"/>
  <c r="F7" i="81"/>
  <c r="F8" i="81"/>
  <c r="F5" i="81"/>
  <c r="G20" i="58"/>
  <c r="G15" i="58"/>
  <c r="D6" i="81"/>
  <c r="H105" i="92" l="1"/>
  <c r="H119" i="92"/>
  <c r="H117" i="92"/>
  <c r="H94" i="92"/>
  <c r="H104" i="92"/>
  <c r="H82" i="92"/>
  <c r="H108" i="92"/>
  <c r="H89" i="92"/>
  <c r="H110" i="92"/>
  <c r="H103" i="92"/>
  <c r="H101" i="92"/>
  <c r="H107" i="92"/>
  <c r="H115" i="92"/>
  <c r="H99" i="92"/>
  <c r="H98" i="92"/>
  <c r="H113" i="92"/>
  <c r="H93" i="92"/>
  <c r="H120" i="92"/>
  <c r="H106" i="92"/>
  <c r="H91" i="92"/>
  <c r="H92" i="92"/>
  <c r="H100" i="92"/>
  <c r="H86" i="92"/>
  <c r="H97" i="92"/>
  <c r="H118" i="92"/>
  <c r="H90" i="92"/>
  <c r="H102" i="92"/>
  <c r="H87" i="92"/>
  <c r="H111" i="92"/>
  <c r="H95" i="92"/>
  <c r="H84" i="92"/>
  <c r="H123" i="92"/>
  <c r="H58" i="92"/>
  <c r="H59" i="92"/>
  <c r="H60" i="92"/>
  <c r="H71" i="92"/>
  <c r="H70" i="92"/>
  <c r="H67" i="92"/>
  <c r="H65" i="92"/>
  <c r="H66" i="92"/>
  <c r="H68" i="92"/>
  <c r="H49" i="92"/>
  <c r="H48" i="92"/>
  <c r="H50" i="92"/>
  <c r="H64" i="92"/>
  <c r="H63" i="92"/>
  <c r="H55" i="92"/>
  <c r="H52" i="92"/>
  <c r="H47" i="92"/>
  <c r="H54" i="92"/>
  <c r="H53" i="92"/>
  <c r="H56" i="92"/>
  <c r="H51" i="92"/>
  <c r="H62" i="92"/>
  <c r="H61" i="92"/>
  <c r="H27" i="92"/>
  <c r="H24" i="92"/>
  <c r="H25" i="92"/>
  <c r="H42" i="92"/>
  <c r="H32" i="92"/>
  <c r="H38" i="92"/>
  <c r="H35" i="92"/>
  <c r="H28" i="92"/>
  <c r="H39" i="92"/>
  <c r="H22" i="92"/>
  <c r="H44" i="92"/>
  <c r="H34" i="92"/>
  <c r="H23" i="92"/>
  <c r="H26" i="92"/>
  <c r="H31" i="92"/>
  <c r="H36" i="92"/>
  <c r="H43" i="92"/>
  <c r="H29" i="92"/>
  <c r="H21" i="92"/>
  <c r="H33" i="92"/>
  <c r="H30" i="92"/>
  <c r="H37" i="92"/>
  <c r="H46" i="92"/>
  <c r="F116" i="92" l="1"/>
  <c r="F122" i="92" s="1"/>
  <c r="F124" i="92" s="1"/>
  <c r="F126" i="92" s="1"/>
  <c r="H124" i="92" l="1"/>
  <c r="H122" i="92"/>
  <c r="H116" i="92"/>
  <c r="K136" i="92" l="1"/>
  <c r="BZ84" i="92"/>
  <c r="O136" i="92" l="1"/>
  <c r="BX129" i="92"/>
  <c r="O152" i="92" l="1"/>
  <c r="Q142" i="92" s="1"/>
  <c r="F142" i="92" s="1"/>
  <c r="H142" i="92" s="1"/>
  <c r="Q144" i="92" l="1"/>
  <c r="F144" i="92" s="1"/>
  <c r="H144" i="92" s="1"/>
  <c r="Q140" i="92"/>
  <c r="F140" i="92" s="1"/>
  <c r="H140" i="92" s="1"/>
  <c r="Q138" i="92"/>
  <c r="Q136" i="92"/>
  <c r="F136" i="92" s="1"/>
  <c r="H136" i="92" s="1"/>
  <c r="C5" i="92"/>
  <c r="C17" i="54" s="1"/>
  <c r="F138" i="92" l="1"/>
  <c r="H138" i="92" s="1"/>
  <c r="C7" i="92" s="1"/>
  <c r="C19" i="54" s="1"/>
  <c r="F194" i="92"/>
  <c r="F195" i="92" s="1"/>
  <c r="H195" i="92" s="1"/>
  <c r="C4" i="92" s="1"/>
  <c r="D10" i="92" s="1"/>
  <c r="C6" i="92"/>
  <c r="D7" i="92" l="1"/>
  <c r="D9" i="92"/>
  <c r="D5" i="92"/>
  <c r="D6" i="92"/>
  <c r="H194" i="92"/>
  <c r="C18" i="54"/>
  <c r="C8" i="92"/>
  <c r="E153" i="122"/>
  <c r="F153" i="122" s="1"/>
  <c r="F164" i="122" s="1"/>
  <c r="E39" i="63"/>
  <c r="G49" i="96"/>
  <c r="G57" i="96" s="1"/>
  <c r="C20" i="54" l="1"/>
  <c r="C15" i="54" s="1"/>
  <c r="D8" i="92"/>
  <c r="H164" i="122"/>
  <c r="F166" i="122"/>
  <c r="H166" i="122" s="1"/>
  <c r="I164" i="122"/>
  <c r="I153" i="122"/>
  <c r="H153" i="122"/>
  <c r="G56" i="96"/>
  <c r="G58" i="96" s="1"/>
  <c r="D74" i="63" s="1"/>
  <c r="E74" i="63" s="1"/>
  <c r="F74" i="63" s="1"/>
  <c r="F85" i="63" s="1"/>
  <c r="G15" i="54" l="1"/>
  <c r="G21" i="54"/>
  <c r="I85" i="63"/>
  <c r="H85" i="63"/>
  <c r="F87" i="63"/>
  <c r="F183" i="122"/>
  <c r="I166" i="122"/>
  <c r="E6" i="122" s="1"/>
  <c r="C6" i="122"/>
  <c r="I74" i="63"/>
  <c r="H74" i="63"/>
  <c r="I87" i="63" l="1"/>
  <c r="E5" i="63" s="1"/>
  <c r="F105" i="63"/>
  <c r="H87" i="63"/>
  <c r="C5" i="63" s="1"/>
  <c r="H183" i="122"/>
  <c r="I183" i="122"/>
  <c r="F239" i="122"/>
  <c r="C18" i="121"/>
  <c r="H105" i="63" l="1"/>
  <c r="F150" i="63"/>
  <c r="I105" i="63"/>
  <c r="C17" i="43"/>
  <c r="F240" i="122"/>
  <c r="I239" i="122"/>
  <c r="H239" i="122"/>
  <c r="I150" i="63" l="1"/>
  <c r="F151" i="63"/>
  <c r="H150" i="63"/>
  <c r="H240" i="122"/>
  <c r="C7" i="122" s="1"/>
  <c r="C4" i="122" s="1"/>
  <c r="I240" i="122"/>
  <c r="E7" i="122" s="1"/>
  <c r="H151" i="63" l="1"/>
  <c r="C6" i="63" s="1"/>
  <c r="I151" i="63"/>
  <c r="E6" i="63" s="1"/>
  <c r="D9" i="122"/>
  <c r="D8" i="122"/>
  <c r="D5" i="122"/>
  <c r="D6" i="122"/>
  <c r="C19" i="121"/>
  <c r="C15" i="121" s="1"/>
  <c r="G15" i="121" s="1"/>
  <c r="D7" i="122"/>
  <c r="E4" i="122"/>
  <c r="C18" i="43" l="1"/>
  <c r="C15" i="43" s="1"/>
  <c r="C4" i="63"/>
  <c r="E4" i="63"/>
  <c r="G20" i="121"/>
  <c r="F6" i="122"/>
  <c r="F5" i="122"/>
  <c r="F9" i="122"/>
  <c r="F8" i="122"/>
  <c r="F7" i="122"/>
  <c r="G15" i="43" l="1"/>
  <c r="G20" i="43"/>
  <c r="D6" i="63"/>
  <c r="D7" i="63"/>
  <c r="D8" i="63"/>
  <c r="D5" i="63"/>
  <c r="F8" i="63"/>
  <c r="F7" i="63"/>
  <c r="F5" i="63"/>
  <c r="F6" i="63"/>
</calcChain>
</file>

<file path=xl/sharedStrings.xml><?xml version="1.0" encoding="utf-8"?>
<sst xmlns="http://schemas.openxmlformats.org/spreadsheetml/2006/main" count="7671" uniqueCount="1055">
  <si>
    <t>Unidade</t>
  </si>
  <si>
    <t>kg</t>
  </si>
  <si>
    <t>Inseticida, Connect, como beta-ciflutrina</t>
  </si>
  <si>
    <t>Soja</t>
  </si>
  <si>
    <t>GWP</t>
  </si>
  <si>
    <t>-</t>
  </si>
  <si>
    <t>Gases de Efeito Estufa</t>
  </si>
  <si>
    <t>Insumos agrícolas</t>
  </si>
  <si>
    <t>Insumos industriais</t>
  </si>
  <si>
    <t>Herbicida, Goal, como oxifluorfen</t>
  </si>
  <si>
    <t>Herbicida, Diuron, como diuron</t>
  </si>
  <si>
    <t>Herbicida, Herbipak, como ametrina</t>
  </si>
  <si>
    <t>Herbicida, Herburon, como diuron</t>
  </si>
  <si>
    <t>Herbicida, Nortox, como 2,4 D</t>
  </si>
  <si>
    <t>Inseticida, Actara, como thiamethoxan</t>
  </si>
  <si>
    <t>Inseticida, Mirex, como sulfluramida</t>
  </si>
  <si>
    <t>Inseticida, Regent 800 WG, como fipronil</t>
  </si>
  <si>
    <t>Herbicida, Hexaron, como diuron</t>
  </si>
  <si>
    <t>Herbicida, Hexaron, como hexazinona</t>
  </si>
  <si>
    <t>Cana-de-açúcar</t>
  </si>
  <si>
    <t>Água</t>
  </si>
  <si>
    <t>Cal (CaO)</t>
  </si>
  <si>
    <t>Ácido sulfúrico</t>
  </si>
  <si>
    <t>Ácido fosfórico</t>
  </si>
  <si>
    <t>Floculante (flocculant polymer)</t>
  </si>
  <si>
    <t>Antibióticos</t>
  </si>
  <si>
    <t>Óleo lubrificante</t>
  </si>
  <si>
    <t>Zeolita</t>
  </si>
  <si>
    <t>Gesso</t>
  </si>
  <si>
    <t>MJ</t>
  </si>
  <si>
    <t>Outros</t>
  </si>
  <si>
    <t xml:space="preserve">Unidade </t>
  </si>
  <si>
    <t>Herbicida, como glifosato</t>
  </si>
  <si>
    <t>Pesticidas, geral</t>
  </si>
  <si>
    <t>Sementes de milho</t>
  </si>
  <si>
    <t>Operações agrícolas</t>
  </si>
  <si>
    <t>ha</t>
  </si>
  <si>
    <t>Sulfuric acid {RoW}| production | Alloc Def, U</t>
  </si>
  <si>
    <t>Phosphoric acid, industrial grade, without water, in 85% solution state {RER}| purification of wet-process phosphoric acid to industrial grade, product in 85% solution state | Alloc Def, U</t>
  </si>
  <si>
    <t>Chemical, inorganic {GLO}| production | Alloc Def, U</t>
  </si>
  <si>
    <t>Lubricating oil {RER}| production | Alloc Def, U</t>
  </si>
  <si>
    <t>Zeolite, powder {RER}| production | Alloc Def, U</t>
  </si>
  <si>
    <t>m³</t>
  </si>
  <si>
    <t>Ammonia, liquid, at plant, production mix/CTBE BR</t>
  </si>
  <si>
    <t>Water treatment biorefinery/CTBE BR U</t>
  </si>
  <si>
    <t>Etanol anidro</t>
  </si>
  <si>
    <t>Etanol hidratado</t>
  </si>
  <si>
    <t>tkm</t>
  </si>
  <si>
    <t>Eletricidade</t>
  </si>
  <si>
    <t>Eletricidade BR Mix - Alta Voltagem</t>
  </si>
  <si>
    <t>Óleo de soja</t>
  </si>
  <si>
    <t>1 ha médio</t>
  </si>
  <si>
    <t>Emissões</t>
  </si>
  <si>
    <t>Glifosato</t>
  </si>
  <si>
    <t>Emissões do processo</t>
  </si>
  <si>
    <t>Emissões totais</t>
  </si>
  <si>
    <t>1 TC</t>
  </si>
  <si>
    <t>kWh</t>
  </si>
  <si>
    <t xml:space="preserve">Entradas </t>
  </si>
  <si>
    <t>%</t>
  </si>
  <si>
    <t>Entradas da tecnosfera</t>
  </si>
  <si>
    <t>Emissões background</t>
  </si>
  <si>
    <t>Enzyme, cellulase/CTBE BR U</t>
  </si>
  <si>
    <t>Uso</t>
  </si>
  <si>
    <t>DDGS</t>
  </si>
  <si>
    <t>CGM</t>
  </si>
  <si>
    <t>CGF</t>
  </si>
  <si>
    <t>Ácido cítrico</t>
  </si>
  <si>
    <t>Adjuvante, como ester metílico</t>
  </si>
  <si>
    <t>Adjuvante, como óleo mineral</t>
  </si>
  <si>
    <t>Inseticida, como bifentrina</t>
  </si>
  <si>
    <t>Inseticida, como lufenuron</t>
  </si>
  <si>
    <t>Inseticida, como teflubenzurom</t>
  </si>
  <si>
    <t>Inseticida, como tiodicarbe</t>
  </si>
  <si>
    <t>Fungicida, como Difeconazol</t>
  </si>
  <si>
    <t>Fungicida, como ciproconazole</t>
  </si>
  <si>
    <t>Fungicida, como azoxistrobina</t>
  </si>
  <si>
    <t>Fungicida, como trifloxistrobina</t>
  </si>
  <si>
    <t>Herbicida,como atrazina</t>
  </si>
  <si>
    <t>Herbicida, como Nicosulfuron</t>
  </si>
  <si>
    <t>Fungicida, como tebuconazol</t>
  </si>
  <si>
    <t>Fungicida, como Fluxapiroxade</t>
  </si>
  <si>
    <t>Fungicida, como Piraclostrobina</t>
  </si>
  <si>
    <t>Inseticida, como Imidacloprido</t>
  </si>
  <si>
    <t>Ecoinvent V.3.1</t>
  </si>
  <si>
    <t>Hidróxido de sódio</t>
  </si>
  <si>
    <t>Amonia</t>
  </si>
  <si>
    <t>Yeast paste, from whey, at fermentation/CH U</t>
  </si>
  <si>
    <t>Sodium hydroxide, 50% in H2O, market mix, at plant/CTBE BR U</t>
  </si>
  <si>
    <t>Ecoinvent V.3.1.</t>
  </si>
  <si>
    <t>CTBE</t>
  </si>
  <si>
    <t>Tratamento de água</t>
  </si>
  <si>
    <t>Bagaço</t>
  </si>
  <si>
    <t>Embrapa</t>
  </si>
  <si>
    <t>Fonte dos dados</t>
  </si>
  <si>
    <t>GLP</t>
  </si>
  <si>
    <t>Transport, freight, sea, transoceanic tanker {GLO}| processing | Alloc Def, U</t>
  </si>
  <si>
    <t>Transport, freight, inland waterways, barge tanker {RoW}| processing | Alloc Def, U</t>
  </si>
  <si>
    <t>Liquefied petroleum gas {RoW}| petroleum refinery operation | Alloc Def, U</t>
  </si>
  <si>
    <t>Eletricidade EUA - Alta Voltagem</t>
  </si>
  <si>
    <t>Electricity, high voltage, at grid/US U</t>
  </si>
  <si>
    <t>..</t>
  </si>
  <si>
    <t xml:space="preserve">Gás Natural </t>
  </si>
  <si>
    <t>Gás Natural</t>
  </si>
  <si>
    <t>Heat, district or industrial, other than natural gas {RoW}| heat production, at hard coal industrial furnace 1-10MW | Alloc Def, U</t>
  </si>
  <si>
    <t>.</t>
  </si>
  <si>
    <t>Cavaco de madeira</t>
  </si>
  <si>
    <t>Metanol</t>
  </si>
  <si>
    <t>Enzima celulase</t>
  </si>
  <si>
    <t>Methanol {GLO}| production | Alloc Def, U</t>
  </si>
  <si>
    <t>Sementes de soja</t>
  </si>
  <si>
    <t>Hexano</t>
  </si>
  <si>
    <t>Ecoinvent</t>
  </si>
  <si>
    <t>Hexane {RoW}| molecular sieve separation of naphtha | Alloc Def, U</t>
  </si>
  <si>
    <t>Eletricidade BR Mix - Média Voltagem</t>
  </si>
  <si>
    <t>Electricity, medium voltage, production BR, at grid/BR U</t>
  </si>
  <si>
    <t>Farelo de soja</t>
  </si>
  <si>
    <t>Citric acid {RoW}| production | Alloc Def, U</t>
  </si>
  <si>
    <t>Ácido Clorídrico</t>
  </si>
  <si>
    <t>Hydrochloric acid, without water, in 30% solution state {RoW}| hydrochloric acid production, from the reaction of hydrogen with chlorine | Alloc Def, U</t>
  </si>
  <si>
    <t>Hydrochloric acid, 30% in H2O, at plant/BR U</t>
  </si>
  <si>
    <t>Metilato de sódio</t>
  </si>
  <si>
    <t>Sodium methoxide {GLO}| production | Alloc Def, U</t>
  </si>
  <si>
    <t>Biodiesel</t>
  </si>
  <si>
    <t>Etanol</t>
  </si>
  <si>
    <t>Etanol Anidro</t>
  </si>
  <si>
    <t>Etanol Hidratado</t>
  </si>
  <si>
    <t>Convencional</t>
  </si>
  <si>
    <t>Direto</t>
  </si>
  <si>
    <t>Mínimo/Reduzido</t>
  </si>
  <si>
    <t>Herbicida, Roundup Ready, como glifosato</t>
  </si>
  <si>
    <t>Herbicida, Boral 500 SC, como sulfentrazone</t>
  </si>
  <si>
    <t>Herbicida, Combine 500 SC, como tebuthiuron</t>
  </si>
  <si>
    <t>Amônia anidra</t>
  </si>
  <si>
    <t>Umidade</t>
  </si>
  <si>
    <t xml:space="preserve">Wood chips, wet, measured as dry mass {RoW}| wood chips production, hardwood, at sawmill | Alloc Def, U  </t>
  </si>
  <si>
    <t>Açúcar</t>
  </si>
  <si>
    <t>Fornecedores - Dados consolidados</t>
  </si>
  <si>
    <t>t</t>
  </si>
  <si>
    <t>N2O</t>
  </si>
  <si>
    <t>CH4</t>
  </si>
  <si>
    <t>CO2</t>
  </si>
  <si>
    <t>g/MJ</t>
  </si>
  <si>
    <t>Greet</t>
  </si>
  <si>
    <t>Emissões uso gasolina pura</t>
  </si>
  <si>
    <t>Emissões ciclo de vida gasolina pura (Tab. 4.13)</t>
  </si>
  <si>
    <t xml:space="preserve">Wang et al (2012) </t>
  </si>
  <si>
    <t>Luo et al (2010)</t>
  </si>
  <si>
    <t>94 g/MJ</t>
  </si>
  <si>
    <t>tCO2eq/tdiesel</t>
  </si>
  <si>
    <t>gCO2eq/tdiesel</t>
  </si>
  <si>
    <t>gCO2eq/kgdiesel</t>
  </si>
  <si>
    <t>gCO2eq/MJdiesel</t>
  </si>
  <si>
    <t>Ureia</t>
  </si>
  <si>
    <t xml:space="preserve">Outros </t>
  </si>
  <si>
    <t xml:space="preserve">Drying of maize grain sozinho {BR - Renovabio} </t>
  </si>
  <si>
    <t>Processamento sem secagem</t>
  </si>
  <si>
    <t>Não</t>
  </si>
  <si>
    <t>Sim</t>
  </si>
  <si>
    <t>agrícola</t>
  </si>
  <si>
    <t>industrial</t>
  </si>
  <si>
    <t>transporte</t>
  </si>
  <si>
    <t>Enzimas</t>
  </si>
  <si>
    <t>Calcário dolomítico</t>
  </si>
  <si>
    <t>Calcário calcítico</t>
  </si>
  <si>
    <t>Metílica</t>
  </si>
  <si>
    <t>Etílica</t>
  </si>
  <si>
    <t>especificar</t>
  </si>
  <si>
    <t>Média ponderada - RenovaCalc</t>
  </si>
  <si>
    <t>Nm³</t>
  </si>
  <si>
    <t>Transporte</t>
  </si>
  <si>
    <t>E1GC</t>
  </si>
  <si>
    <t>Usina</t>
  </si>
  <si>
    <t>Coluna valores</t>
  </si>
  <si>
    <t>Coluna Especificar</t>
  </si>
  <si>
    <t>Colunas %</t>
  </si>
  <si>
    <t>Amônia</t>
  </si>
  <si>
    <t>Hidratado</t>
  </si>
  <si>
    <t xml:space="preserve">Floculante </t>
  </si>
  <si>
    <t>Anidro</t>
  </si>
  <si>
    <t>Agrícola</t>
  </si>
  <si>
    <t>Industrial</t>
  </si>
  <si>
    <t>Processamento dos grãos</t>
  </si>
  <si>
    <t>Calor, MJ</t>
  </si>
  <si>
    <t>Palha de terceiros</t>
  </si>
  <si>
    <t>Recolhimento de palha enfardada, com 50% de recolhimento</t>
  </si>
  <si>
    <t>Diesel B8</t>
  </si>
  <si>
    <t>Biodiesel B100</t>
  </si>
  <si>
    <t>Gasolina A</t>
  </si>
  <si>
    <t>uso</t>
  </si>
  <si>
    <t xml:space="preserve"> km</t>
  </si>
  <si>
    <t>Fase industrial - processamento do etanol</t>
  </si>
  <si>
    <t>Linha Corretivos (inicio)</t>
  </si>
  <si>
    <t>Linha Corretivos (fim)</t>
  </si>
  <si>
    <t>Linha Fertilizantes (inicio)</t>
  </si>
  <si>
    <t>Linha Fertilizantes (fim)</t>
  </si>
  <si>
    <t>Linha Fertilizantes org. (inicio)</t>
  </si>
  <si>
    <t>Linha Fertilizantes org. (fim)</t>
  </si>
  <si>
    <t>Linha Combust. (inicio)</t>
  </si>
  <si>
    <t>Linha Combust. (fim)</t>
  </si>
  <si>
    <t>Linha Fertilizantes ("especificar" inicio)</t>
  </si>
  <si>
    <t>Linha Fertilizantes ("especificar" fim)</t>
  </si>
  <si>
    <t>Linha Fertilizantes org. ("especificar" inicio)</t>
  </si>
  <si>
    <t>Linha Fertilizantes org. ("especificar" fim)</t>
  </si>
  <si>
    <t>Linha default/primario</t>
  </si>
  <si>
    <t>Concentração de N</t>
  </si>
  <si>
    <t>Transporte, caminhão 7.5-16t</t>
  </si>
  <si>
    <t>Transporte, caminhão  &gt;32t</t>
  </si>
  <si>
    <t>Transporte caminhão 16-32t</t>
  </si>
  <si>
    <t>AR5 (IPCC)</t>
  </si>
  <si>
    <t>Processamento do milho {BR - Renovabio}| limpeza, secagem e armazenamento | Alloc Def, U</t>
  </si>
  <si>
    <t>Transport, lorry 7.5-16t, EURO3/RER U</t>
  </si>
  <si>
    <t>Transport, freight, lorry 16-32 metric ton, EURO3 {RoW}| transport, freight, lorry 16-32 metric ton, EURO3 | Alloc Def, U</t>
  </si>
  <si>
    <t>Transport, lorry &gt;32t, EURO3/RER U</t>
  </si>
  <si>
    <t>Herbicidas, Fungicidas, Inseticidas, Adjuvantes</t>
  </si>
  <si>
    <t>Lime {RoW}| production, milled, loose | Alloc Rec, U</t>
  </si>
  <si>
    <t>Gypsum, mineral {RoW}| gypsum quarry operation | Alloc Rec, U</t>
  </si>
  <si>
    <t>Urea, as N {RoW}| production | Alloc Rec, U</t>
  </si>
  <si>
    <t>Ammonium nitrate, as N {RoW}| ammonium nitrate production | Alloc Rec, U</t>
  </si>
  <si>
    <t>Ammonium sulfate, as N {RoW}| ammonium sulfate production | Alloc Rec, U</t>
  </si>
  <si>
    <t>Ammonium nitrate, as N {RoW}| calcium nitrate production | Alloc Rec, U</t>
  </si>
  <si>
    <t>Nitrogen fertiliser, as N {RoW}| urea ammonium nitrate production | Alloc Rec, U</t>
  </si>
  <si>
    <t>Nitrogen fertiliser, as N {RoW}| calcium ammonium nitrate production | Alloc Rec, U</t>
  </si>
  <si>
    <t>Nitrogen fertiliser, as N {RER}| diammonium phosphate production | Alloc Rec, U</t>
  </si>
  <si>
    <t>Nitrogen fertiliser, as N {RER}| monoammonium phosphate production | Alloc Rec, U</t>
  </si>
  <si>
    <t>Potassium chloride, as K2O {RoW}| potassium chloride production | Alloc Rec, U</t>
  </si>
  <si>
    <t>Phosphate fertiliser, as P2O5 {RoW}| single superphosphate production | Alloc Rec, U</t>
  </si>
  <si>
    <t>Phosphate fertiliser, as P2O5 {RoW}| triple superphosphate production | Alloc Rec, U</t>
  </si>
  <si>
    <t>Glyphosate {RoW}| production | Alloc Rec, U</t>
  </si>
  <si>
    <t>2,4-dichlorophenol {RoW}| production | Alloc Rec, U</t>
  </si>
  <si>
    <t>Phosphate fertiliser, as P2O5 {RER}| monoammonium phosphate production | Alloc Rec, U</t>
  </si>
  <si>
    <t>Pesticide, unspecified {RoW}| production | Alloc Rec, U</t>
  </si>
  <si>
    <t>Maize seed, Swiss integrated production, at farm {CH}| production | Alloc Rec, U</t>
  </si>
  <si>
    <t>Soybean seed, for sowing {RoW}| production | Alloc Rec, U</t>
  </si>
  <si>
    <t>Water, decarbonised, at user {RoW}| water production and supply, decarbonised | Alloc Rec, U</t>
  </si>
  <si>
    <t>Quicklime, milled, loose {RoW}| production | Alloc Rec, U</t>
  </si>
  <si>
    <t>Instruções</t>
  </si>
  <si>
    <t>O responsável pelo preenchimento deve estar atento às seguintes diretrizes:</t>
  </si>
  <si>
    <t>Nome da Usina:</t>
  </si>
  <si>
    <t>Responsável pelo preenchimento:</t>
  </si>
  <si>
    <t>Telefone :</t>
  </si>
  <si>
    <t>Emissão desconsiderada</t>
  </si>
  <si>
    <t>Herbicidas e Inseticidas - Total</t>
  </si>
  <si>
    <t>Combustíveis e eletricidade</t>
  </si>
  <si>
    <t>GNV</t>
  </si>
  <si>
    <t>Carvão de coque</t>
  </si>
  <si>
    <t>GREET (2010)</t>
  </si>
  <si>
    <t>Quantidade de palha queimada = quantidade de palha produzida*produtividade*% da área queimada</t>
  </si>
  <si>
    <t>Pendente</t>
  </si>
  <si>
    <t>Cancelado</t>
  </si>
  <si>
    <t>Bagaço comercializado</t>
  </si>
  <si>
    <t xml:space="preserve">              Fertilizantes Orgânicos/Organominerais</t>
  </si>
  <si>
    <t>Combustíveis</t>
  </si>
  <si>
    <t>(IPCC, 2006 - Capítulo 2 - Combustão Estacionária)</t>
  </si>
  <si>
    <t>N - Nitrato de Amônio</t>
  </si>
  <si>
    <t>N - Sulfato de Amônio</t>
  </si>
  <si>
    <t>N - Outros</t>
  </si>
  <si>
    <t>Distância de transporte</t>
  </si>
  <si>
    <t>km</t>
  </si>
  <si>
    <t>Bagaço de cana</t>
  </si>
  <si>
    <t>Matéria-prima 1</t>
  </si>
  <si>
    <t>Matéria-prima 2</t>
  </si>
  <si>
    <t>Biometano</t>
  </si>
  <si>
    <t>IPCC (2006) V.04 "Agricultura, floresta e outros usos da terra"</t>
  </si>
  <si>
    <t>Onde:</t>
  </si>
  <si>
    <t>0,3= Fração de N nos fertilizante minerais e orgânico que é perdida via lixiviação e runnof</t>
  </si>
  <si>
    <t>IPCC (2006)</t>
  </si>
  <si>
    <t>Milho Importado</t>
  </si>
  <si>
    <t>Cana E1G2G</t>
  </si>
  <si>
    <t>Cana de açúcar E1G</t>
  </si>
  <si>
    <t>Milho BR - Stand Alone</t>
  </si>
  <si>
    <t>Milho BR - Flex</t>
  </si>
  <si>
    <t>Cana Flex</t>
  </si>
  <si>
    <t>Produtividade em massa seca (t/ha)</t>
  </si>
  <si>
    <t>Querosene de Aviação</t>
  </si>
  <si>
    <t>ANP</t>
  </si>
  <si>
    <t>Informações gerais</t>
  </si>
  <si>
    <t>RenovaCalc</t>
  </si>
  <si>
    <t>Rodoviário</t>
  </si>
  <si>
    <t>Teor de N na raíz (kgN / traíz bs)</t>
  </si>
  <si>
    <t>Quantidade de raíz (t(bs)/ha/ano)</t>
  </si>
  <si>
    <t>Quantidade de palha (tpalha (bs) /tcana )</t>
  </si>
  <si>
    <t>[teor de N na raíz * quantidade de raíz)+(teor de N na palha*quantidade de palha*produtividade*(1 - % da área queimada - % de resíduos agrícolas recolhida)]</t>
  </si>
  <si>
    <t>industrial - extração do óleo</t>
  </si>
  <si>
    <t>industrial - transesterificação</t>
  </si>
  <si>
    <t>N - Nitrato de cálcio</t>
  </si>
  <si>
    <t>kg palha (bs)</t>
  </si>
  <si>
    <t>Ecoinvent V.3.1 + B0 Soja RenovaCalc</t>
  </si>
  <si>
    <t>BEN 2016 - Tabela VIII.9 – Densidades e Poderes Caloríficos p.226</t>
  </si>
  <si>
    <t>Ecoinvent V.3.1. BEN 2016</t>
  </si>
  <si>
    <t>RenovaCalc - Típico</t>
  </si>
  <si>
    <t>Levedura</t>
  </si>
  <si>
    <t>2,4 - D</t>
  </si>
  <si>
    <t>Default - Cana</t>
  </si>
  <si>
    <t xml:space="preserve">Fração de massa seca </t>
  </si>
  <si>
    <t>Fração de resíduos recolhidos</t>
  </si>
  <si>
    <t>[Quantidade de resíduos na parte aérea*1000*Teor de N na parte aérea*(1-Fração de resíduos recolhidos)+(Quantidade de resíduos na parte aérea*1000+Produtividade em massa seca*1000)*Quantidade de raíz*Teor de N na raíz]</t>
  </si>
  <si>
    <t>Produtividade (t/ha)</t>
  </si>
  <si>
    <t>Quantidade de resíduos na parte aérea (t bs/ha)</t>
  </si>
  <si>
    <t>Teor de N nos resíduos da parte aérea (kgN/tpalha bs)</t>
  </si>
  <si>
    <t>Teor de N nos resíduos da parte aérea (kgN/kg resíduo bs)</t>
  </si>
  <si>
    <t>Razão entre as raízes e a parte aérea (kgraízes/kgparte aérea)</t>
  </si>
  <si>
    <t>Teor de N na raíz (kgN/kg raíz)</t>
  </si>
  <si>
    <t>Fração da área queimada</t>
  </si>
  <si>
    <t>DDG</t>
  </si>
  <si>
    <t>Alfa-amilase</t>
  </si>
  <si>
    <t>Glucoamilase</t>
  </si>
  <si>
    <t>Natural gas, high pressure {RoW}| market for | Alloc Def, U</t>
  </si>
  <si>
    <t>Diesel, low-sulfur {RoW}| market for | Alloc Def, U</t>
  </si>
  <si>
    <t>Diesel B0</t>
  </si>
  <si>
    <t>Nm³/t milho</t>
  </si>
  <si>
    <t>Transporte ferroviário</t>
  </si>
  <si>
    <t>Transporte rodoviário 60 m³</t>
  </si>
  <si>
    <t>Consumo de E.E.</t>
  </si>
  <si>
    <t>CO2eq</t>
  </si>
  <si>
    <t>Transporte, caminhão  60m³</t>
  </si>
  <si>
    <t>RenovaBio</t>
  </si>
  <si>
    <t>Transporte, ferroviário</t>
  </si>
  <si>
    <t>KLEIN et al. (2018) - CTBE</t>
  </si>
  <si>
    <t>Óleo de Milho</t>
  </si>
  <si>
    <t>PCI</t>
  </si>
  <si>
    <t>Transporte, navio</t>
  </si>
  <si>
    <t>Transporte, balsa</t>
  </si>
  <si>
    <t>Transporte, dutoviário - Biometano</t>
  </si>
  <si>
    <t>CaO</t>
  </si>
  <si>
    <t>Calor (carvão)</t>
  </si>
  <si>
    <t>MJ/t milho</t>
  </si>
  <si>
    <t>Matéria-prima 3</t>
  </si>
  <si>
    <t>Matéria-prima 4</t>
  </si>
  <si>
    <t>Matéria-prima 5</t>
  </si>
  <si>
    <t>Alocação</t>
  </si>
  <si>
    <t>Transporte, dutoviário - Combustíveis líquidos</t>
  </si>
  <si>
    <t>Transporte dutoviário - Biometano</t>
  </si>
  <si>
    <t>Transporte dutoviário - Combustíveis Líquidos</t>
  </si>
  <si>
    <t>Electricity, high voltage, production BR, at grid/BR U</t>
  </si>
  <si>
    <t>Bioquerosene</t>
  </si>
  <si>
    <t>Soja B100</t>
  </si>
  <si>
    <t>Soja HEFA</t>
  </si>
  <si>
    <t>Corretivos</t>
  </si>
  <si>
    <t>Fertilizantes Sintéticos</t>
  </si>
  <si>
    <t>Agroquímicos</t>
  </si>
  <si>
    <t>Sementes</t>
  </si>
  <si>
    <t>CNPJ</t>
  </si>
  <si>
    <t>00.000.000/0000-00</t>
  </si>
  <si>
    <t>(00) 0000-0000</t>
  </si>
  <si>
    <t>Vinhaça</t>
  </si>
  <si>
    <t xml:space="preserve"> Lenha</t>
  </si>
  <si>
    <t>Lenha</t>
  </si>
  <si>
    <t>Sistema de plantio</t>
  </si>
  <si>
    <t>Área queimada</t>
  </si>
  <si>
    <t>Produção total colhida para moagem</t>
  </si>
  <si>
    <t>Palha recolhida (base seca)</t>
  </si>
  <si>
    <t>Área Queimada</t>
  </si>
  <si>
    <t>t cana</t>
  </si>
  <si>
    <t>t palha</t>
  </si>
  <si>
    <t>Área total</t>
  </si>
  <si>
    <t>kg N/t cana</t>
  </si>
  <si>
    <t>kg P₂O₅/t cana</t>
  </si>
  <si>
    <t>kg/t cana</t>
  </si>
  <si>
    <t>kg K₂O/t cana</t>
  </si>
  <si>
    <t>Fertilizantes Orgânicos/Organominerais</t>
  </si>
  <si>
    <t>Torta de Filtro (base úmida)</t>
  </si>
  <si>
    <t>Cinzas e fuligem (base úmida)</t>
  </si>
  <si>
    <t>L/t cana</t>
  </si>
  <si>
    <t>g N/L</t>
  </si>
  <si>
    <t>g N/kg</t>
  </si>
  <si>
    <t>Diesel - B8</t>
  </si>
  <si>
    <t>Diesel - B10</t>
  </si>
  <si>
    <t>Diesel - BX</t>
  </si>
  <si>
    <t>Diesel - B20</t>
  </si>
  <si>
    <t>Diesel - B30</t>
  </si>
  <si>
    <t>Biodiesel - B100</t>
  </si>
  <si>
    <t>Eletricidade - biomassa</t>
  </si>
  <si>
    <t>Eletricidade - eólica</t>
  </si>
  <si>
    <t>Eletricidade - solar</t>
  </si>
  <si>
    <t>Eletricidade - PCH</t>
  </si>
  <si>
    <t>Eletricidade da rede - mix médio</t>
  </si>
  <si>
    <t>kWh/t cana</t>
  </si>
  <si>
    <t>Nm³/t cana</t>
  </si>
  <si>
    <t>Teor de biodiesel na mistura</t>
  </si>
  <si>
    <t>Teor médio de biodiesel na mistura</t>
  </si>
  <si>
    <t>Padrão</t>
  </si>
  <si>
    <t>% da área total</t>
  </si>
  <si>
    <t>Processamento e rendimentos</t>
  </si>
  <si>
    <t>Rendimento Etanol Hidratado</t>
  </si>
  <si>
    <t>Rendimento Etanol Anidro</t>
  </si>
  <si>
    <t>Rendimento Açúcar</t>
  </si>
  <si>
    <t>Rendimento Energia Elétrica Comercializada</t>
  </si>
  <si>
    <r>
      <t>Rendimento Bagaço Comercializado</t>
    </r>
    <r>
      <rPr>
        <sz val="8"/>
        <color theme="1" tint="4.9989318521683403E-2"/>
        <rFont val="Calibri Light"/>
        <family val="2"/>
      </rPr>
      <t xml:space="preserve"> (base úmida)</t>
    </r>
  </si>
  <si>
    <t>Bagaço de terceiros</t>
  </si>
  <si>
    <t>Palha própria</t>
  </si>
  <si>
    <t>Bagaço próprio</t>
  </si>
  <si>
    <r>
      <t xml:space="preserve">Quantidade </t>
    </r>
    <r>
      <rPr>
        <sz val="8"/>
        <color theme="1" tint="4.9989318521683403E-2"/>
        <rFont val="Calibri Light"/>
        <family val="2"/>
      </rPr>
      <t>(base úmida)</t>
    </r>
  </si>
  <si>
    <t>N - Ureia</t>
  </si>
  <si>
    <t>N - MAP - Fosfato Monoamônico</t>
  </si>
  <si>
    <t>P₂O₅ - MAP - Fosfato Monoamônico</t>
  </si>
  <si>
    <t>N - DAP - Fosfato diamônico</t>
  </si>
  <si>
    <t>P₂O₅ - DAP - Fosfato diamônico</t>
  </si>
  <si>
    <t xml:space="preserve">N - UAN - Nitrato de amônio Ureia </t>
  </si>
  <si>
    <t>N - Amônia anidra</t>
  </si>
  <si>
    <t>N - CAN - Nitrato de amônio cálcio</t>
  </si>
  <si>
    <t>P₂O₅ - SSP - Superfosfato Simples</t>
  </si>
  <si>
    <t>P₂O₅ - TSP - Superfosfato Triplo</t>
  </si>
  <si>
    <t>K₂O - KCl - Cloreto de potássio</t>
  </si>
  <si>
    <t>P₂O₅ - Outros</t>
  </si>
  <si>
    <t>K₂O - Outros</t>
  </si>
  <si>
    <t>Outros Fertilizantes Orgânicos/Organominerais</t>
  </si>
  <si>
    <t>Torta de filtro</t>
  </si>
  <si>
    <t>Cinzas e fuligem</t>
  </si>
  <si>
    <t>kg N</t>
  </si>
  <si>
    <t>kg P₂O₅</t>
  </si>
  <si>
    <t>kg K₂O</t>
  </si>
  <si>
    <t>L</t>
  </si>
  <si>
    <t>Ocupação total</t>
  </si>
  <si>
    <t>Produção de cana</t>
  </si>
  <si>
    <t>Insumo</t>
  </si>
  <si>
    <t>Ecoinvent V.3.2</t>
  </si>
  <si>
    <t>Ecoinvent V.3.3</t>
  </si>
  <si>
    <t>Ecoinvent V.3.4</t>
  </si>
  <si>
    <t>Fertilizantes e corretivos</t>
  </si>
  <si>
    <t>Recolhimento de palha de cana</t>
  </si>
  <si>
    <t>Secagem de grãos</t>
  </si>
  <si>
    <t>Processamento de grãos secos (limpeza e armazenamento)</t>
  </si>
  <si>
    <t>Processamento de grãos incluindo secagem(limpeza, secagem e armazenamento)</t>
  </si>
  <si>
    <t>Ácido Clorídrico - solução 30%</t>
  </si>
  <si>
    <t>Diesel (B0)</t>
  </si>
  <si>
    <t>Biodiesel (B100)</t>
  </si>
  <si>
    <t>Teor de impurezas minerais</t>
  </si>
  <si>
    <r>
      <t>Teor de impurezas vegetais</t>
    </r>
    <r>
      <rPr>
        <sz val="8"/>
        <color theme="1" tint="4.9989318521683403E-2"/>
        <rFont val="Calibri Light"/>
        <family val="2"/>
      </rPr>
      <t xml:space="preserve"> (base úmida)</t>
    </r>
  </si>
  <si>
    <r>
      <t xml:space="preserve">Palha recolhida </t>
    </r>
    <r>
      <rPr>
        <sz val="8"/>
        <color theme="1" tint="4.9989318521683403E-2"/>
        <rFont val="Calibri Light"/>
        <family val="2"/>
      </rPr>
      <t>(base seca)</t>
    </r>
  </si>
  <si>
    <t>Palha retirada como impureza vegetal (tpalha (bs) /ha )</t>
  </si>
  <si>
    <t>Palha recolhida (tpalha (bs) /ha)</t>
  </si>
  <si>
    <t>Calcário Calcítico (kg C/kg)</t>
  </si>
  <si>
    <t>Calcário Dolomítico (kg C/kg)</t>
  </si>
  <si>
    <t>Calcário Ureia (kg C/kg)</t>
  </si>
  <si>
    <t>Calcário Dolomítico (kg CO₂/kg)</t>
  </si>
  <si>
    <t>GHG protocol</t>
  </si>
  <si>
    <r>
      <t>CO₂ eq</t>
    </r>
    <r>
      <rPr>
        <sz val="11"/>
        <rFont val="Calibri Light"/>
        <family val="2"/>
      </rPr>
      <t xml:space="preserve"> - queima do diesel</t>
    </r>
  </si>
  <si>
    <r>
      <t>CO</t>
    </r>
    <r>
      <rPr>
        <vertAlign val="subscript"/>
        <sz val="11"/>
        <rFont val="Calibri Light"/>
        <family val="2"/>
      </rPr>
      <t xml:space="preserve">2 - Calcário </t>
    </r>
  </si>
  <si>
    <r>
      <t>CO</t>
    </r>
    <r>
      <rPr>
        <vertAlign val="subscript"/>
        <sz val="11"/>
        <rFont val="Calibri Light"/>
        <family val="2"/>
      </rPr>
      <t>2 - Uréia</t>
    </r>
  </si>
  <si>
    <r>
      <t>CH</t>
    </r>
    <r>
      <rPr>
        <vertAlign val="subscript"/>
        <sz val="11"/>
        <rFont val="Calibri Light"/>
        <family val="2"/>
      </rPr>
      <t>4 bio - queima palha</t>
    </r>
  </si>
  <si>
    <r>
      <t>N</t>
    </r>
    <r>
      <rPr>
        <vertAlign val="subscript"/>
        <sz val="11"/>
        <rFont val="Calibri Light"/>
        <family val="2"/>
      </rPr>
      <t>2</t>
    </r>
    <r>
      <rPr>
        <sz val="11"/>
        <rFont val="Calibri Light"/>
        <family val="2"/>
      </rPr>
      <t>O - queima palha</t>
    </r>
  </si>
  <si>
    <t>Biometano (Nm³)</t>
  </si>
  <si>
    <r>
      <t>CO₂ eq</t>
    </r>
    <r>
      <rPr>
        <sz val="11"/>
        <rFont val="Calibri Light"/>
        <family val="2"/>
      </rPr>
      <t xml:space="preserve"> - queima do biodiesel</t>
    </r>
  </si>
  <si>
    <r>
      <t>CO₂ eq</t>
    </r>
    <r>
      <rPr>
        <sz val="11"/>
        <rFont val="Calibri Light"/>
        <family val="2"/>
      </rPr>
      <t xml:space="preserve"> - queima do biometano</t>
    </r>
  </si>
  <si>
    <t>t soja</t>
  </si>
  <si>
    <t>kg/t soja</t>
  </si>
  <si>
    <t>L/t soja</t>
  </si>
  <si>
    <t>Nm³/t soja</t>
  </si>
  <si>
    <t>kWh/t soja</t>
  </si>
  <si>
    <t>Ureia (kg CO₂/kg N)</t>
  </si>
  <si>
    <t>Fase industrial - extração do óleo de soja</t>
  </si>
  <si>
    <t>kWh/t óleo</t>
  </si>
  <si>
    <t>L/t óleo</t>
  </si>
  <si>
    <t>Combustíveis e energia</t>
  </si>
  <si>
    <t>Insumos</t>
  </si>
  <si>
    <t>kg/t óleo</t>
  </si>
  <si>
    <t>Solução de nitrato de amônio e ureia (UAN)</t>
  </si>
  <si>
    <t>Sulfato de amônio</t>
  </si>
  <si>
    <t>Nitrato de amônio e cálcio (CAN)</t>
  </si>
  <si>
    <t>Superfosfato simples (SSP)</t>
  </si>
  <si>
    <t>Superfosfato triplo (TSP)</t>
  </si>
  <si>
    <t>Cloreto de potássio (KCl)</t>
  </si>
  <si>
    <t>Fosfato Monoamônico (MAP)</t>
  </si>
  <si>
    <t>Fosfato diamônico (DAP)</t>
  </si>
  <si>
    <t>Nitrato de amônio</t>
  </si>
  <si>
    <t>Resíduos florestais</t>
  </si>
  <si>
    <t>Gasolina C</t>
  </si>
  <si>
    <t>Biometano de terceiros</t>
  </si>
  <si>
    <t>Biometano próprio</t>
  </si>
  <si>
    <t>g/unidade</t>
  </si>
  <si>
    <r>
      <t>CO</t>
    </r>
    <r>
      <rPr>
        <b/>
        <vertAlign val="subscript"/>
        <sz val="11"/>
        <color theme="0"/>
        <rFont val="Calibri"/>
        <family val="2"/>
        <scheme val="minor"/>
      </rPr>
      <t>2  Fóssil</t>
    </r>
  </si>
  <si>
    <r>
      <t>CO</t>
    </r>
    <r>
      <rPr>
        <b/>
        <vertAlign val="subscript"/>
        <sz val="11"/>
        <color theme="0"/>
        <rFont val="Calibri"/>
        <family val="2"/>
        <scheme val="minor"/>
      </rPr>
      <t>2 Biogênico</t>
    </r>
  </si>
  <si>
    <r>
      <t>CH</t>
    </r>
    <r>
      <rPr>
        <b/>
        <vertAlign val="subscript"/>
        <sz val="11"/>
        <color theme="0"/>
        <rFont val="Calibri"/>
        <family val="2"/>
        <scheme val="minor"/>
      </rPr>
      <t>4 Fóssil</t>
    </r>
  </si>
  <si>
    <r>
      <t>CH</t>
    </r>
    <r>
      <rPr>
        <b/>
        <vertAlign val="subscript"/>
        <sz val="11"/>
        <color theme="0"/>
        <rFont val="Calibri"/>
        <family val="2"/>
        <scheme val="minor"/>
      </rPr>
      <t>4 Biogênico</t>
    </r>
  </si>
  <si>
    <r>
      <t>N</t>
    </r>
    <r>
      <rPr>
        <b/>
        <vertAlign val="subscript"/>
        <sz val="11"/>
        <color theme="0"/>
        <rFont val="Calibri"/>
        <family val="2"/>
        <scheme val="minor"/>
      </rPr>
      <t>2</t>
    </r>
    <r>
      <rPr>
        <b/>
        <sz val="11"/>
        <color theme="0"/>
        <rFont val="Calibri"/>
        <family val="2"/>
        <scheme val="minor"/>
      </rPr>
      <t>O</t>
    </r>
    <r>
      <rPr>
        <b/>
        <vertAlign val="subscript"/>
        <sz val="11"/>
        <color theme="0"/>
        <rFont val="Calibri"/>
        <family val="2"/>
        <scheme val="minor"/>
      </rPr>
      <t xml:space="preserve">  </t>
    </r>
  </si>
  <si>
    <r>
      <t>CO</t>
    </r>
    <r>
      <rPr>
        <b/>
        <sz val="11"/>
        <color theme="0"/>
        <rFont val="Calibri Light"/>
        <family val="2"/>
      </rPr>
      <t>₂</t>
    </r>
    <r>
      <rPr>
        <b/>
        <sz val="11"/>
        <color theme="0"/>
        <rFont val="Calibri"/>
        <family val="2"/>
        <scheme val="minor"/>
      </rPr>
      <t xml:space="preserve"> eq</t>
    </r>
  </si>
  <si>
    <t>Referência</t>
  </si>
  <si>
    <t>Diesel A (B0)</t>
  </si>
  <si>
    <t>Combustível</t>
  </si>
  <si>
    <t>Ecoinvent (2007) apud CTBE</t>
  </si>
  <si>
    <t>Fatores de emissão da queima de combustíveis em caminhões e maquinários agrícolas</t>
  </si>
  <si>
    <t>Fatores de emissão da queima de combustíveis em fontes móveis</t>
  </si>
  <si>
    <t>GHG Protocol</t>
  </si>
  <si>
    <r>
      <t>CO</t>
    </r>
    <r>
      <rPr>
        <b/>
        <sz val="11"/>
        <color theme="0"/>
        <rFont val="Calibri Light"/>
        <family val="2"/>
      </rPr>
      <t>₂</t>
    </r>
    <r>
      <rPr>
        <b/>
        <sz val="11"/>
        <color theme="0"/>
        <rFont val="Calibri"/>
        <family val="2"/>
        <scheme val="minor"/>
      </rPr>
      <t xml:space="preserve"> eq/MJ</t>
    </r>
  </si>
  <si>
    <t>Querosene de aviação</t>
  </si>
  <si>
    <t>BioQav</t>
  </si>
  <si>
    <t>kg/L</t>
  </si>
  <si>
    <t>kcal/kg</t>
  </si>
  <si>
    <t>Gás natural seco</t>
  </si>
  <si>
    <t>MJ/kg</t>
  </si>
  <si>
    <t>Teor de etanol anidro na gasolina C</t>
  </si>
  <si>
    <r>
      <t>CO₂ eq</t>
    </r>
    <r>
      <rPr>
        <sz val="11"/>
        <rFont val="Calibri Light"/>
        <family val="2"/>
      </rPr>
      <t xml:space="preserve"> - queima da gasolina A</t>
    </r>
  </si>
  <si>
    <r>
      <t>CO₂ eq</t>
    </r>
    <r>
      <rPr>
        <sz val="11"/>
        <rFont val="Calibri Light"/>
        <family val="2"/>
      </rPr>
      <t xml:space="preserve"> - queima do etanol anidro</t>
    </r>
  </si>
  <si>
    <r>
      <t>CO₂ eq</t>
    </r>
    <r>
      <rPr>
        <sz val="11"/>
        <rFont val="Calibri Light"/>
        <family val="2"/>
      </rPr>
      <t xml:space="preserve"> - queima do etanol hidratado</t>
    </r>
  </si>
  <si>
    <t>Produtos</t>
  </si>
  <si>
    <t>Energia elétrica comercializada</t>
  </si>
  <si>
    <t>Resíduo</t>
  </si>
  <si>
    <t>Transporte de bagaço de terceiros</t>
  </si>
  <si>
    <t>Transporte de palha de terceiros</t>
  </si>
  <si>
    <t>Transporte de cavaco de madeira</t>
  </si>
  <si>
    <t>Etapa agrícola - Cana-de-açúcar</t>
  </si>
  <si>
    <t>Etapa industrial - Etanol</t>
  </si>
  <si>
    <t>Transporte de lenha</t>
  </si>
  <si>
    <t>Transporte de resíduos florestais</t>
  </si>
  <si>
    <r>
      <t xml:space="preserve">kg </t>
    </r>
    <r>
      <rPr>
        <vertAlign val="subscript"/>
        <sz val="11"/>
        <color theme="1"/>
        <rFont val="Calibri Light"/>
        <family val="2"/>
      </rPr>
      <t>base úmida</t>
    </r>
  </si>
  <si>
    <r>
      <t xml:space="preserve">kg </t>
    </r>
    <r>
      <rPr>
        <vertAlign val="subscript"/>
        <sz val="11"/>
        <color theme="1"/>
        <rFont val="Calibri Light"/>
        <family val="2"/>
      </rPr>
      <t>base seca</t>
    </r>
  </si>
  <si>
    <r>
      <t xml:space="preserve">1 t </t>
    </r>
    <r>
      <rPr>
        <b/>
        <vertAlign val="subscript"/>
        <sz val="11"/>
        <color theme="0"/>
        <rFont val="Calibri Light"/>
        <family val="2"/>
      </rPr>
      <t>cana</t>
    </r>
  </si>
  <si>
    <r>
      <t>g CO</t>
    </r>
    <r>
      <rPr>
        <b/>
        <vertAlign val="subscript"/>
        <sz val="11"/>
        <color theme="0"/>
        <rFont val="Calibri Light"/>
        <family val="2"/>
      </rPr>
      <t>2 eq</t>
    </r>
    <r>
      <rPr>
        <b/>
        <sz val="11"/>
        <color theme="0"/>
        <rFont val="Calibri Light"/>
        <family val="2"/>
      </rPr>
      <t xml:space="preserve">/t </t>
    </r>
    <r>
      <rPr>
        <b/>
        <vertAlign val="subscript"/>
        <sz val="11"/>
        <color theme="0"/>
        <rFont val="Calibri Light"/>
        <family val="2"/>
      </rPr>
      <t>cana</t>
    </r>
  </si>
  <si>
    <r>
      <t>g CO</t>
    </r>
    <r>
      <rPr>
        <vertAlign val="subscript"/>
        <sz val="11"/>
        <rFont val="Calibri Light"/>
        <family val="2"/>
      </rPr>
      <t>2 eq</t>
    </r>
    <r>
      <rPr>
        <sz val="11"/>
        <rFont val="Calibri Light"/>
        <family val="2"/>
      </rPr>
      <t xml:space="preserve">/t </t>
    </r>
    <r>
      <rPr>
        <vertAlign val="subscript"/>
        <sz val="11"/>
        <rFont val="Calibri Light"/>
        <family val="2"/>
      </rPr>
      <t>cana</t>
    </r>
  </si>
  <si>
    <t>Produto</t>
  </si>
  <si>
    <t>Entradas da natureza</t>
  </si>
  <si>
    <t>Fatores de emissão da queima de combustíveis em caldeiras</t>
  </si>
  <si>
    <t>Palha</t>
  </si>
  <si>
    <t>Biogás</t>
  </si>
  <si>
    <t>Ecoinvet</t>
  </si>
  <si>
    <t>CO₂ eq - queima do bagaço de terceiros</t>
  </si>
  <si>
    <t>CO₂ eq - queima da palha de terceiros</t>
  </si>
  <si>
    <t>CO₂ eq - queima da lenha</t>
  </si>
  <si>
    <t>CO₂ eq - queima dos resíduos florestais</t>
  </si>
  <si>
    <t>CO₂ eq - queima dos cavacos de madeira</t>
  </si>
  <si>
    <t>CO₂ eq - queima do bagaço próprio</t>
  </si>
  <si>
    <t>CO₂ eq - queima da palha própria</t>
  </si>
  <si>
    <t>Cavacos de madeira</t>
  </si>
  <si>
    <t>Etapa distribuição</t>
  </si>
  <si>
    <t>Massa</t>
  </si>
  <si>
    <r>
      <t xml:space="preserve">kg/t </t>
    </r>
    <r>
      <rPr>
        <vertAlign val="subscript"/>
        <sz val="11"/>
        <rFont val="Calibri Light"/>
        <family val="2"/>
      </rPr>
      <t>cana</t>
    </r>
  </si>
  <si>
    <r>
      <t xml:space="preserve">tkm/t </t>
    </r>
    <r>
      <rPr>
        <vertAlign val="subscript"/>
        <sz val="11"/>
        <rFont val="Calibri Light"/>
        <family val="2"/>
      </rPr>
      <t>cana</t>
    </r>
  </si>
  <si>
    <t>Transporte rodoviário</t>
  </si>
  <si>
    <t>Parâmetro</t>
  </si>
  <si>
    <r>
      <t>g CO</t>
    </r>
    <r>
      <rPr>
        <b/>
        <vertAlign val="subscript"/>
        <sz val="11"/>
        <rFont val="Calibri Light"/>
        <family val="2"/>
      </rPr>
      <t>2 eq</t>
    </r>
    <r>
      <rPr>
        <b/>
        <sz val="11"/>
        <rFont val="Calibri Light"/>
        <family val="2"/>
      </rPr>
      <t>/MJ</t>
    </r>
  </si>
  <si>
    <t>Distância de transporte rodoviário</t>
  </si>
  <si>
    <t>Distância de transporte dutoviário</t>
  </si>
  <si>
    <t>Transporte dutoviário</t>
  </si>
  <si>
    <t>Distância de transporte ferroviário</t>
  </si>
  <si>
    <r>
      <t>g CO</t>
    </r>
    <r>
      <rPr>
        <b/>
        <vertAlign val="subscript"/>
        <sz val="11"/>
        <color theme="0"/>
        <rFont val="Calibri Light"/>
        <family val="2"/>
      </rPr>
      <t>2 eq</t>
    </r>
    <r>
      <rPr>
        <b/>
        <sz val="11"/>
        <color theme="0"/>
        <rFont val="Calibri Light"/>
        <family val="2"/>
      </rPr>
      <t>/MJ</t>
    </r>
  </si>
  <si>
    <t>Total</t>
  </si>
  <si>
    <t>Emissões totais - g CO₂ eq</t>
  </si>
  <si>
    <t>Usina Hipotética</t>
  </si>
  <si>
    <t>Redução de emissões</t>
  </si>
  <si>
    <t>kg N/t soja</t>
  </si>
  <si>
    <t>kg P₂O₅/t soja</t>
  </si>
  <si>
    <t>kg K₂O/t soja</t>
  </si>
  <si>
    <t>Rendimento Óleo</t>
  </si>
  <si>
    <t>Rendimento Farelo</t>
  </si>
  <si>
    <t>Processamento efetivo - soja</t>
  </si>
  <si>
    <t>Distância de transporte - soja</t>
  </si>
  <si>
    <r>
      <t>g CO</t>
    </r>
    <r>
      <rPr>
        <vertAlign val="subscript"/>
        <sz val="11"/>
        <rFont val="Calibri Light"/>
        <family val="2"/>
      </rPr>
      <t>2 eq</t>
    </r>
    <r>
      <rPr>
        <sz val="11"/>
        <rFont val="Calibri Light"/>
        <family val="2"/>
      </rPr>
      <t xml:space="preserve">/t </t>
    </r>
    <r>
      <rPr>
        <vertAlign val="subscript"/>
        <sz val="11"/>
        <rFont val="Calibri Light"/>
        <family val="2"/>
      </rPr>
      <t>soja</t>
    </r>
  </si>
  <si>
    <t>Etapa agrícola - Soja</t>
  </si>
  <si>
    <r>
      <t xml:space="preserve">1 t </t>
    </r>
    <r>
      <rPr>
        <b/>
        <vertAlign val="subscript"/>
        <sz val="11"/>
        <color theme="0"/>
        <rFont val="Calibri Light"/>
        <family val="2"/>
      </rPr>
      <t>soja</t>
    </r>
  </si>
  <si>
    <r>
      <t>g CO</t>
    </r>
    <r>
      <rPr>
        <b/>
        <vertAlign val="subscript"/>
        <sz val="11"/>
        <color theme="0"/>
        <rFont val="Calibri Light"/>
        <family val="2"/>
      </rPr>
      <t>2 eq</t>
    </r>
    <r>
      <rPr>
        <b/>
        <sz val="11"/>
        <color theme="0"/>
        <rFont val="Calibri Light"/>
        <family val="2"/>
      </rPr>
      <t xml:space="preserve">/t </t>
    </r>
    <r>
      <rPr>
        <b/>
        <vertAlign val="subscript"/>
        <sz val="11"/>
        <color theme="0"/>
        <rFont val="Calibri Light"/>
        <family val="2"/>
      </rPr>
      <t>soja</t>
    </r>
  </si>
  <si>
    <t>N - Fosfato monoamônico (MAP)</t>
  </si>
  <si>
    <t>Fosfato monoamônico (MAP)</t>
  </si>
  <si>
    <t>N - Fosfato diamônico (DAP)</t>
  </si>
  <si>
    <t>N - Nitrato de amônio</t>
  </si>
  <si>
    <t>N - Solução de nitrato de amônio e ureia (UAN)</t>
  </si>
  <si>
    <t>N - Sulfato de amônio</t>
  </si>
  <si>
    <t>N - Nitrato de amônio e cálcio (CAN)</t>
  </si>
  <si>
    <t>P₂O₅ - Fosfato monoamônico (MAP)</t>
  </si>
  <si>
    <t>P₂O₅ - Fosfato diamônico (DAP)</t>
  </si>
  <si>
    <t>P₂O₅ - Superfosfato simples (SSP)</t>
  </si>
  <si>
    <t>P₂O₅ - Superfosfato triplo (TSP)</t>
  </si>
  <si>
    <t>K₂O - Cloreto de potássio (KCl)</t>
  </si>
  <si>
    <t>2,4-D</t>
  </si>
  <si>
    <t>Emissões resíduos culturais</t>
  </si>
  <si>
    <t>Emissões fertilizantes orgânicos</t>
  </si>
  <si>
    <t>Emissões fertilizantes minerais</t>
  </si>
  <si>
    <r>
      <t>N</t>
    </r>
    <r>
      <rPr>
        <vertAlign val="subscript"/>
        <sz val="11"/>
        <rFont val="Calibri Light"/>
        <family val="2"/>
      </rPr>
      <t>2</t>
    </r>
    <r>
      <rPr>
        <sz val="11"/>
        <rFont val="Calibri Light"/>
        <family val="2"/>
      </rPr>
      <t>O - Fertilizantes sintéticos</t>
    </r>
  </si>
  <si>
    <r>
      <t>N</t>
    </r>
    <r>
      <rPr>
        <vertAlign val="subscript"/>
        <sz val="11"/>
        <rFont val="Calibri Light"/>
        <family val="2"/>
      </rPr>
      <t>2</t>
    </r>
    <r>
      <rPr>
        <sz val="11"/>
        <rFont val="Calibri Light"/>
        <family val="2"/>
      </rPr>
      <t>O - Fertilizantes organominerais</t>
    </r>
  </si>
  <si>
    <r>
      <t>N</t>
    </r>
    <r>
      <rPr>
        <vertAlign val="subscript"/>
        <sz val="11"/>
        <rFont val="Calibri Light"/>
        <family val="2"/>
      </rPr>
      <t>2</t>
    </r>
    <r>
      <rPr>
        <sz val="11"/>
        <rFont val="Calibri Light"/>
        <family val="2"/>
      </rPr>
      <t>O - Resíduos culturais</t>
    </r>
  </si>
  <si>
    <t>Etapa industrial - Extração do óleo de soja</t>
  </si>
  <si>
    <t>Soja (grãos)</t>
  </si>
  <si>
    <t>Gás natural</t>
  </si>
  <si>
    <t>Palha de cana</t>
  </si>
  <si>
    <t>Transporte da soja em grãos até a usina</t>
  </si>
  <si>
    <t>Bagaço de cana-de-açúcar</t>
  </si>
  <si>
    <t>Transporte de bagaço de cana-de-açúcar</t>
  </si>
  <si>
    <t>Palha de cana-de-açúcar</t>
  </si>
  <si>
    <t>Transporte de palha de cana-de-açúcar</t>
  </si>
  <si>
    <t>Processamento com secagem</t>
  </si>
  <si>
    <t>Industrial - extração do óleo</t>
  </si>
  <si>
    <r>
      <t>CO₂ eq</t>
    </r>
    <r>
      <rPr>
        <sz val="11"/>
        <rFont val="Calibri Light"/>
        <family val="2"/>
      </rPr>
      <t xml:space="preserve"> - queima da gás natural</t>
    </r>
  </si>
  <si>
    <t>CO₂ eq - queima do bagaço de cana-de-açúcar</t>
  </si>
  <si>
    <t>CO₂ eq - queima da palha de cana-de-açúcar</t>
  </si>
  <si>
    <r>
      <t>g CO</t>
    </r>
    <r>
      <rPr>
        <vertAlign val="subscript"/>
        <sz val="11"/>
        <rFont val="Calibri Light"/>
        <family val="2"/>
      </rPr>
      <t>2 eq</t>
    </r>
    <r>
      <rPr>
        <sz val="11"/>
        <rFont val="Calibri Light"/>
        <family val="2"/>
      </rPr>
      <t xml:space="preserve">/kg </t>
    </r>
    <r>
      <rPr>
        <vertAlign val="subscript"/>
        <sz val="11"/>
        <rFont val="Calibri Light"/>
        <family val="2"/>
      </rPr>
      <t>óleo de soja</t>
    </r>
  </si>
  <si>
    <t>Fase industrial - produção do biodiesel</t>
  </si>
  <si>
    <t>t óleo</t>
  </si>
  <si>
    <t>Distância de transporte - óleo de soja</t>
  </si>
  <si>
    <t>Rota de produção</t>
  </si>
  <si>
    <t>Glicerina purificada</t>
  </si>
  <si>
    <t>Glicerina bruta</t>
  </si>
  <si>
    <t>Etapa industrial - Produção de biodiesel</t>
  </si>
  <si>
    <t>Ácido clorídrico</t>
  </si>
  <si>
    <r>
      <t xml:space="preserve">1 t </t>
    </r>
    <r>
      <rPr>
        <b/>
        <vertAlign val="subscript"/>
        <sz val="11"/>
        <color theme="0"/>
        <rFont val="Calibri Light"/>
        <family val="2"/>
      </rPr>
      <t>óleo</t>
    </r>
  </si>
  <si>
    <r>
      <t>g CO</t>
    </r>
    <r>
      <rPr>
        <b/>
        <vertAlign val="subscript"/>
        <sz val="11"/>
        <color theme="0"/>
        <rFont val="Calibri Light"/>
        <family val="2"/>
      </rPr>
      <t>2 eq</t>
    </r>
    <r>
      <rPr>
        <b/>
        <sz val="11"/>
        <color theme="0"/>
        <rFont val="Calibri Light"/>
        <family val="2"/>
      </rPr>
      <t xml:space="preserve">/t </t>
    </r>
    <r>
      <rPr>
        <b/>
        <vertAlign val="subscript"/>
        <sz val="11"/>
        <color theme="0"/>
        <rFont val="Calibri Light"/>
        <family val="2"/>
      </rPr>
      <t>óleo</t>
    </r>
  </si>
  <si>
    <r>
      <t>g CO</t>
    </r>
    <r>
      <rPr>
        <vertAlign val="subscript"/>
        <sz val="11"/>
        <rFont val="Calibri Light"/>
        <family val="2"/>
      </rPr>
      <t>2 eq</t>
    </r>
    <r>
      <rPr>
        <sz val="11"/>
        <rFont val="Calibri Light"/>
        <family val="2"/>
      </rPr>
      <t xml:space="preserve">/kg </t>
    </r>
    <r>
      <rPr>
        <vertAlign val="subscript"/>
        <sz val="11"/>
        <rFont val="Calibri Light"/>
        <family val="2"/>
      </rPr>
      <t>óleo</t>
    </r>
  </si>
  <si>
    <r>
      <t xml:space="preserve">kg/t </t>
    </r>
    <r>
      <rPr>
        <vertAlign val="subscript"/>
        <sz val="11"/>
        <rFont val="Calibri Light"/>
        <family val="2"/>
      </rPr>
      <t>óleo</t>
    </r>
  </si>
  <si>
    <r>
      <t xml:space="preserve">tkm/t </t>
    </r>
    <r>
      <rPr>
        <vertAlign val="subscript"/>
        <sz val="11"/>
        <rFont val="Calibri Light"/>
        <family val="2"/>
      </rPr>
      <t>óleo</t>
    </r>
  </si>
  <si>
    <r>
      <t>g CO</t>
    </r>
    <r>
      <rPr>
        <vertAlign val="subscript"/>
        <sz val="11"/>
        <rFont val="Calibri Light"/>
        <family val="2"/>
      </rPr>
      <t>2 eq</t>
    </r>
    <r>
      <rPr>
        <sz val="11"/>
        <rFont val="Calibri Light"/>
        <family val="2"/>
      </rPr>
      <t xml:space="preserve">/t </t>
    </r>
    <r>
      <rPr>
        <vertAlign val="subscript"/>
        <sz val="11"/>
        <rFont val="Calibri Light"/>
        <family val="2"/>
      </rPr>
      <t>óleo</t>
    </r>
  </si>
  <si>
    <t>t bagaço</t>
  </si>
  <si>
    <t>Distância de transporte - bagaço de terceiros</t>
  </si>
  <si>
    <t>Distância de transporte - palha de terceiros</t>
  </si>
  <si>
    <t/>
  </si>
  <si>
    <t>t milho</t>
  </si>
  <si>
    <r>
      <t xml:space="preserve">Produção total </t>
    </r>
    <r>
      <rPr>
        <sz val="9"/>
        <color theme="1" tint="4.9989318521683403E-2"/>
        <rFont val="Calibri Light"/>
        <family val="2"/>
      </rPr>
      <t>(base úmida)</t>
    </r>
  </si>
  <si>
    <t>kg/t milho</t>
  </si>
  <si>
    <t>kg N/t milho</t>
  </si>
  <si>
    <t>kg P₂O₅/t milho</t>
  </si>
  <si>
    <t>kg K₂O/t milho</t>
  </si>
  <si>
    <t>Etapa agrícola - Milho</t>
  </si>
  <si>
    <r>
      <t xml:space="preserve">1 t </t>
    </r>
    <r>
      <rPr>
        <b/>
        <vertAlign val="subscript"/>
        <sz val="11"/>
        <color theme="0"/>
        <rFont val="Calibri Light"/>
        <family val="2"/>
      </rPr>
      <t>milho</t>
    </r>
  </si>
  <si>
    <t>Produção de soja</t>
  </si>
  <si>
    <t>Produção de milho</t>
  </si>
  <si>
    <r>
      <t>g CO</t>
    </r>
    <r>
      <rPr>
        <b/>
        <vertAlign val="subscript"/>
        <sz val="11"/>
        <color theme="0"/>
        <rFont val="Calibri Light"/>
        <family val="2"/>
      </rPr>
      <t>2 eq</t>
    </r>
    <r>
      <rPr>
        <b/>
        <sz val="11"/>
        <color theme="0"/>
        <rFont val="Calibri Light"/>
        <family val="2"/>
      </rPr>
      <t xml:space="preserve">/t </t>
    </r>
    <r>
      <rPr>
        <b/>
        <vertAlign val="subscript"/>
        <sz val="11"/>
        <color theme="0"/>
        <rFont val="Calibri Light"/>
        <family val="2"/>
      </rPr>
      <t>milho</t>
    </r>
  </si>
  <si>
    <r>
      <t>g CO</t>
    </r>
    <r>
      <rPr>
        <vertAlign val="subscript"/>
        <sz val="11"/>
        <rFont val="Calibri Light"/>
        <family val="2"/>
      </rPr>
      <t>2 eq</t>
    </r>
    <r>
      <rPr>
        <sz val="11"/>
        <rFont val="Calibri Light"/>
        <family val="2"/>
      </rPr>
      <t xml:space="preserve">/t </t>
    </r>
    <r>
      <rPr>
        <vertAlign val="subscript"/>
        <sz val="11"/>
        <rFont val="Calibri Light"/>
        <family val="2"/>
      </rPr>
      <t>milho</t>
    </r>
  </si>
  <si>
    <t>Etapa industrial - Etanol de milho</t>
  </si>
  <si>
    <t>Distância de transporte - milho</t>
  </si>
  <si>
    <t>Rendimento - Etanol hidratado</t>
  </si>
  <si>
    <t>Rendimento - Etanol anidro</t>
  </si>
  <si>
    <t>Rendimento - Óleo de milho</t>
  </si>
  <si>
    <t xml:space="preserve"> Rendimento - DDG (Distillers Dried Grains) </t>
  </si>
  <si>
    <t xml:space="preserve"> Rendimento - DDGS (Distillers Dried Grains with Solubles)</t>
  </si>
  <si>
    <t>Rendimento - CGM (Corn Gluten Meal)</t>
  </si>
  <si>
    <t>Rendimento - CGF (Corn Gluten Feed)</t>
  </si>
  <si>
    <t>L/ t milho</t>
  </si>
  <si>
    <t>kWh/ t milho</t>
  </si>
  <si>
    <t>kg/ t milho</t>
  </si>
  <si>
    <t>kWh/t milho</t>
  </si>
  <si>
    <t>L/t milho</t>
  </si>
  <si>
    <t>Milho (grãos)</t>
  </si>
  <si>
    <t>Transporte do milho em grãos até a usina</t>
  </si>
  <si>
    <r>
      <t xml:space="preserve">kg/t </t>
    </r>
    <r>
      <rPr>
        <vertAlign val="subscript"/>
        <sz val="11"/>
        <rFont val="Calibri Light"/>
        <family val="2"/>
      </rPr>
      <t>milho</t>
    </r>
  </si>
  <si>
    <r>
      <t xml:space="preserve">tkm/t </t>
    </r>
    <r>
      <rPr>
        <vertAlign val="subscript"/>
        <sz val="11"/>
        <rFont val="Calibri Light"/>
        <family val="2"/>
      </rPr>
      <t>milho</t>
    </r>
  </si>
  <si>
    <t>Rendimento - Bioquerosene</t>
  </si>
  <si>
    <t>Hidrogênio</t>
  </si>
  <si>
    <t>GPL</t>
  </si>
  <si>
    <t>Eletricidade da rede - mix médio EUA</t>
  </si>
  <si>
    <r>
      <t>CO₂ eq</t>
    </r>
    <r>
      <rPr>
        <sz val="11"/>
        <rFont val="Calibri Light"/>
        <family val="2"/>
      </rPr>
      <t xml:space="preserve"> - queima do gás natural</t>
    </r>
  </si>
  <si>
    <r>
      <t>CO₂ eq</t>
    </r>
    <r>
      <rPr>
        <sz val="11"/>
        <rFont val="Calibri Light"/>
        <family val="2"/>
      </rPr>
      <t xml:space="preserve"> - queima do GLP</t>
    </r>
  </si>
  <si>
    <t>Distância de transporte marítimo</t>
  </si>
  <si>
    <t>Transporte marítimo</t>
  </si>
  <si>
    <t>Quantidade de óleo de soja processado</t>
  </si>
  <si>
    <t>Produção de Biodiesel</t>
  </si>
  <si>
    <t>Produção de Glicerina purificada</t>
  </si>
  <si>
    <t>Produção de  Glicerina bruta</t>
  </si>
  <si>
    <t>Ammonia, liquid {RoW}| ammonia production, steam reforming, liquid | Alloc Def, U</t>
  </si>
  <si>
    <t>Phosphate fertiliser, as P2O5 {RoW}| diammonium phosphate production | Alloc Rec, U</t>
  </si>
  <si>
    <t>Electricity, high voltage {BR}| cane sugar production with ethanol by-product | Alloc Def, U</t>
  </si>
  <si>
    <t>Electricity, high voltage {BR}| electricity production, wind, 1-3MW turbine, onshore | Alloc Def, U</t>
  </si>
  <si>
    <t>Electricity, low voltage {RoW}| electricity production, photovoltaic, 570kWp open ground installation, multi-Si | Alloc Def, U</t>
  </si>
  <si>
    <t>Electricity, high voltage {RoW}| electricity production, hydro, run-of-river | Alloc Def, U</t>
  </si>
  <si>
    <r>
      <t>kg CO</t>
    </r>
    <r>
      <rPr>
        <b/>
        <vertAlign val="subscript"/>
        <sz val="11"/>
        <color theme="0"/>
        <rFont val="Calibri Light"/>
        <family val="2"/>
      </rPr>
      <t>2eq</t>
    </r>
    <r>
      <rPr>
        <b/>
        <sz val="11"/>
        <color theme="0"/>
        <rFont val="Calibri Light"/>
        <family val="2"/>
      </rPr>
      <t>/kg</t>
    </r>
  </si>
  <si>
    <t>Petrol, low-sulfur {RoW}| production | Alloc Def, U</t>
  </si>
  <si>
    <t>Emissões do ciclo de vida [kg/unidade]</t>
  </si>
  <si>
    <r>
      <t>CO</t>
    </r>
    <r>
      <rPr>
        <b/>
        <sz val="12"/>
        <color theme="0"/>
        <rFont val="Calibri"/>
        <family val="2"/>
      </rPr>
      <t>₂</t>
    </r>
  </si>
  <si>
    <r>
      <t>N</t>
    </r>
    <r>
      <rPr>
        <b/>
        <sz val="12"/>
        <color theme="0"/>
        <rFont val="Calibri"/>
        <family val="2"/>
      </rPr>
      <t>₂O</t>
    </r>
  </si>
  <si>
    <r>
      <t>CH</t>
    </r>
    <r>
      <rPr>
        <b/>
        <sz val="12"/>
        <color theme="0"/>
        <rFont val="Calibri"/>
        <family val="2"/>
      </rPr>
      <t>₄</t>
    </r>
  </si>
  <si>
    <r>
      <t xml:space="preserve">CH₄ </t>
    </r>
    <r>
      <rPr>
        <b/>
        <vertAlign val="subscript"/>
        <sz val="12"/>
        <color theme="0"/>
        <rFont val="Calibri Light"/>
        <family val="2"/>
      </rPr>
      <t>biog</t>
    </r>
  </si>
  <si>
    <r>
      <t>g CO</t>
    </r>
    <r>
      <rPr>
        <b/>
        <sz val="12"/>
        <color theme="0"/>
        <rFont val="Calibri"/>
        <family val="2"/>
      </rPr>
      <t xml:space="preserve">₂ </t>
    </r>
    <r>
      <rPr>
        <b/>
        <vertAlign val="subscript"/>
        <sz val="12"/>
        <color theme="0"/>
        <rFont val="Calibri Light"/>
        <family val="2"/>
      </rPr>
      <t>eq</t>
    </r>
    <r>
      <rPr>
        <b/>
        <sz val="12"/>
        <color theme="0"/>
        <rFont val="Calibri Light"/>
        <family val="2"/>
      </rPr>
      <t>/
unidade</t>
    </r>
  </si>
  <si>
    <t>Processo de referência</t>
  </si>
  <si>
    <t>Massa específica</t>
  </si>
  <si>
    <t>Hydrogen, liquid {RoW}| market for | Alloc Def, U</t>
  </si>
  <si>
    <t>Ecoinvent V.3</t>
  </si>
  <si>
    <t>Cottonseed oil, refined {RoW}| cottonseed oil refinery operation | Alloc Def, U</t>
  </si>
  <si>
    <t>Óleo de algodão</t>
  </si>
  <si>
    <t>Óleo de palma</t>
  </si>
  <si>
    <t>Palm oil, refined {GLO}| palm oil refinery operation | Alloc Def, U</t>
  </si>
  <si>
    <t>Biometano (96,5% metano)</t>
  </si>
  <si>
    <t>DDG – “Dried Distillers Grains”</t>
  </si>
  <si>
    <t>DDGS – “Dried Distillers Grains with Solubles”</t>
  </si>
  <si>
    <t>CGM - "Corn Gluten Meal"</t>
  </si>
  <si>
    <t>CGF - "Corn Gluten Feed"</t>
  </si>
  <si>
    <t>Óleo de Soja</t>
  </si>
  <si>
    <t>Farelo de Soja</t>
  </si>
  <si>
    <t>TACO (2011)</t>
  </si>
  <si>
    <t>Assumido igual ao do DDGS</t>
  </si>
  <si>
    <t xml:space="preserve">Aurora et al (2010) </t>
  </si>
  <si>
    <t>Shapouri et al (2002)</t>
  </si>
  <si>
    <t>Mourad &amp; Walter (2011)</t>
  </si>
  <si>
    <t>Quantidade de óleo de palma processado</t>
  </si>
  <si>
    <t>Distância de transporte - óleo de palma</t>
  </si>
  <si>
    <t>Quantidade de óleo de algodão processado</t>
  </si>
  <si>
    <t>Distância de transporte - óleo de algodão</t>
  </si>
  <si>
    <t>Quantidade de outros óleos vegetais processado</t>
  </si>
  <si>
    <t>Distância de transporte - outros óleos vegetais</t>
  </si>
  <si>
    <t xml:space="preserve">Distância de transporte - óleo de fritura usado </t>
  </si>
  <si>
    <t>Distância de transporte - gordura animal</t>
  </si>
  <si>
    <t>Distância de transporte - outros óleos residuais</t>
  </si>
  <si>
    <t>Outros óleos vegetais</t>
  </si>
  <si>
    <t>Outros óleos residuais</t>
  </si>
  <si>
    <t>Óleo de fritura usado</t>
  </si>
  <si>
    <t>Matérias-primas</t>
  </si>
  <si>
    <t>Transporte óleo de soja até a usina</t>
  </si>
  <si>
    <t>Transporte óleo de palma até a usina</t>
  </si>
  <si>
    <t>Transporte óleo de algodão até a usina</t>
  </si>
  <si>
    <r>
      <t xml:space="preserve">1 t </t>
    </r>
    <r>
      <rPr>
        <b/>
        <vertAlign val="subscript"/>
        <sz val="11"/>
        <color theme="0"/>
        <rFont val="Calibri Light"/>
        <family val="2"/>
      </rPr>
      <t>matéria-prima</t>
    </r>
  </si>
  <si>
    <t>Transporte outros óleos vegetais até a usina</t>
  </si>
  <si>
    <t>Transporte outros óleos residiais até a usina</t>
  </si>
  <si>
    <t>Transporte óleo de fritura usado até a usina</t>
  </si>
  <si>
    <t>Gordura animal</t>
  </si>
  <si>
    <t>Transporte gordura animal até a usina</t>
  </si>
  <si>
    <t>t/ano</t>
  </si>
  <si>
    <t>m³/ano</t>
  </si>
  <si>
    <t>MWh/ano</t>
  </si>
  <si>
    <t>Nm³/ano</t>
  </si>
  <si>
    <t>Fase industrial - produção de biometano</t>
  </si>
  <si>
    <t>Quantidade</t>
  </si>
  <si>
    <t>Produção de biometano</t>
  </si>
  <si>
    <t>Poder calorífico inferior</t>
  </si>
  <si>
    <t>MJ/Nm³</t>
  </si>
  <si>
    <t>Teor de metano</t>
  </si>
  <si>
    <t>% molar</t>
  </si>
  <si>
    <t>Eletricidade comercializada</t>
  </si>
  <si>
    <t>kWh/ano</t>
  </si>
  <si>
    <t>Dutoviário</t>
  </si>
  <si>
    <t>Etapa industrial - Produção de biogás</t>
  </si>
  <si>
    <t>Biogás de Aterro Sanitário</t>
  </si>
  <si>
    <t>Transporte matéria-prima 1 até a usina</t>
  </si>
  <si>
    <t>Transporte matéria-prima 2 até a usina</t>
  </si>
  <si>
    <t>Transporte matéria-prima 3 até a usina</t>
  </si>
  <si>
    <t>Transporte matéria-prima 4 até a usina</t>
  </si>
  <si>
    <t>Transporte matéria-prima 5 até a usina</t>
  </si>
  <si>
    <r>
      <t>g CO</t>
    </r>
    <r>
      <rPr>
        <b/>
        <vertAlign val="subscript"/>
        <sz val="11"/>
        <color theme="0"/>
        <rFont val="Calibri Light"/>
        <family val="2"/>
      </rPr>
      <t>2 eq</t>
    </r>
    <r>
      <rPr>
        <b/>
        <sz val="11"/>
        <color theme="0"/>
        <rFont val="Calibri Light"/>
        <family val="2"/>
      </rPr>
      <t>/ano</t>
    </r>
  </si>
  <si>
    <t>Unidade/ano</t>
  </si>
  <si>
    <r>
      <t>g CO</t>
    </r>
    <r>
      <rPr>
        <vertAlign val="subscript"/>
        <sz val="11"/>
        <rFont val="Calibri Light"/>
        <family val="2"/>
      </rPr>
      <t>2 eq</t>
    </r>
  </si>
  <si>
    <t>Diesel (produção)</t>
  </si>
  <si>
    <t>t MLC</t>
  </si>
  <si>
    <t>L/t MLC</t>
  </si>
  <si>
    <t>kWh/t MLC</t>
  </si>
  <si>
    <t>kg/t MLC</t>
  </si>
  <si>
    <t>MLC</t>
  </si>
  <si>
    <t>Emissões da queima do diesel</t>
  </si>
  <si>
    <t>Quantidade de cana processada</t>
  </si>
  <si>
    <t>Especificar</t>
  </si>
  <si>
    <t>Biomassas</t>
  </si>
  <si>
    <t>Biomassa 1</t>
  </si>
  <si>
    <t>Biomassa 2</t>
  </si>
  <si>
    <t>Biomassa 3</t>
  </si>
  <si>
    <t>Biomassa 4</t>
  </si>
  <si>
    <t>Biomassa 5</t>
  </si>
  <si>
    <r>
      <t xml:space="preserve">Quantidade de palha processada </t>
    </r>
    <r>
      <rPr>
        <sz val="8"/>
        <color theme="1" tint="4.9989318521683403E-2"/>
        <rFont val="Calibri Light"/>
        <family val="2"/>
      </rPr>
      <t>(base seca)</t>
    </r>
  </si>
  <si>
    <r>
      <t xml:space="preserve">Quantidade de bagaço de terceiros processado </t>
    </r>
    <r>
      <rPr>
        <sz val="8"/>
        <color theme="1" tint="4.9989318521683403E-2"/>
        <rFont val="Calibri Light"/>
        <family val="2"/>
      </rPr>
      <t>(base úmida)</t>
    </r>
  </si>
  <si>
    <r>
      <t xml:space="preserve">Quantidade de palha de terceiros processada </t>
    </r>
    <r>
      <rPr>
        <sz val="8"/>
        <color theme="1" tint="4.9989318521683403E-2"/>
        <rFont val="Calibri Light"/>
        <family val="2"/>
      </rPr>
      <t>(base seca)</t>
    </r>
  </si>
  <si>
    <r>
      <t xml:space="preserve">Quantidade de palha própria processada </t>
    </r>
    <r>
      <rPr>
        <sz val="8"/>
        <color theme="1" tint="4.9989318521683403E-2"/>
        <rFont val="Calibri Light"/>
        <family val="2"/>
      </rPr>
      <t>(base seca)</t>
    </r>
  </si>
  <si>
    <r>
      <t xml:space="preserve">Quantidade de bagaço próprio processado </t>
    </r>
    <r>
      <rPr>
        <sz val="8"/>
        <color theme="1" tint="4.9989318521683403E-2"/>
        <rFont val="Calibri Light"/>
        <family val="2"/>
      </rPr>
      <t>(base úmida)</t>
    </r>
  </si>
  <si>
    <r>
      <t xml:space="preserve">Quantidade de bagaço de terceiros processada </t>
    </r>
    <r>
      <rPr>
        <sz val="8"/>
        <color theme="1" tint="4.9989318521683403E-2"/>
        <rFont val="Calibri Light"/>
        <family val="2"/>
      </rPr>
      <t>(base úmida)</t>
    </r>
  </si>
  <si>
    <t xml:space="preserve">Distância de transporte </t>
  </si>
  <si>
    <t>Quantidade de milho processado</t>
  </si>
  <si>
    <t>Produção de  Etanol Anidro</t>
  </si>
  <si>
    <t>Produção de Etanol Hidratado</t>
  </si>
  <si>
    <t>Energia Elétrica Comercializada</t>
  </si>
  <si>
    <t xml:space="preserve">Produção de DDG (Distillers Dried Grains) </t>
  </si>
  <si>
    <t>Produção de DDGS (Distillers Dried Grains with Solubles)</t>
  </si>
  <si>
    <t>Produção de CGM (Corn Gluten Meal)</t>
  </si>
  <si>
    <t>Produção de CGF (Corn Gluten Feed)</t>
  </si>
  <si>
    <t>Produção de Óleo de milho</t>
  </si>
  <si>
    <t>L/ano</t>
  </si>
  <si>
    <t>kg/ano</t>
  </si>
  <si>
    <t>t milho/ano</t>
  </si>
  <si>
    <t>t palha/ano</t>
  </si>
  <si>
    <t>t cana/ano</t>
  </si>
  <si>
    <t xml:space="preserve"> t milho/ano</t>
  </si>
  <si>
    <r>
      <t>CO</t>
    </r>
    <r>
      <rPr>
        <vertAlign val="subscript"/>
        <sz val="11"/>
        <rFont val="Calibri Light"/>
        <family val="2"/>
      </rPr>
      <t xml:space="preserve">2 </t>
    </r>
    <r>
      <rPr>
        <sz val="11"/>
        <rFont val="Calibri Light"/>
        <family val="2"/>
      </rPr>
      <t>- Dióxido de Carbono Fóssil</t>
    </r>
  </si>
  <si>
    <r>
      <t>CH</t>
    </r>
    <r>
      <rPr>
        <vertAlign val="subscript"/>
        <sz val="11"/>
        <rFont val="Calibri Light"/>
        <family val="2"/>
      </rPr>
      <t xml:space="preserve">4 </t>
    </r>
    <r>
      <rPr>
        <sz val="11"/>
        <rFont val="Calibri Light"/>
        <family val="2"/>
      </rPr>
      <t>- Metano Fóssil</t>
    </r>
  </si>
  <si>
    <r>
      <t>CH</t>
    </r>
    <r>
      <rPr>
        <vertAlign val="subscript"/>
        <sz val="11"/>
        <rFont val="Calibri Light"/>
        <family val="2"/>
      </rPr>
      <t>4 - biogênico</t>
    </r>
    <r>
      <rPr>
        <sz val="11"/>
        <rFont val="Calibri Light"/>
        <family val="2"/>
      </rPr>
      <t xml:space="preserve"> - Metano Biogênico</t>
    </r>
  </si>
  <si>
    <r>
      <t>N</t>
    </r>
    <r>
      <rPr>
        <vertAlign val="subscript"/>
        <sz val="11"/>
        <rFont val="Calibri Light"/>
        <family val="2"/>
      </rPr>
      <t>2</t>
    </r>
    <r>
      <rPr>
        <sz val="11"/>
        <rFont val="Calibri Light"/>
        <family val="2"/>
      </rPr>
      <t>O - Óxido Nitroso</t>
    </r>
  </si>
  <si>
    <t>Fatores de caracterização dos gases causadores do efeito estufa</t>
  </si>
  <si>
    <t>Massa específica e poder calorífico inferior dos combustíveis</t>
  </si>
  <si>
    <t>Poder calorífico inferior de outros co-produtos</t>
  </si>
  <si>
    <t>Emissões do ciclo de vida dos insumos e outros processos à montante</t>
  </si>
  <si>
    <r>
      <t>Bagaço Comercializado</t>
    </r>
    <r>
      <rPr>
        <sz val="8"/>
        <color theme="1" tint="4.9989318521683403E-2"/>
        <rFont val="Calibri Light"/>
        <family val="2"/>
      </rPr>
      <t xml:space="preserve"> (base úmida)</t>
    </r>
  </si>
  <si>
    <t>Coluna default/primario</t>
  </si>
  <si>
    <t>Linha Área queimada</t>
  </si>
  <si>
    <t>Linha BX</t>
  </si>
  <si>
    <t>Guarda dados de preenchimento</t>
  </si>
  <si>
    <t>Guarda valores primários</t>
  </si>
  <si>
    <t>E1G2G</t>
  </si>
  <si>
    <t>E1G Flex</t>
  </si>
  <si>
    <t>agrícola - cana-de-açúcar</t>
  </si>
  <si>
    <t>agrícola - milho</t>
  </si>
  <si>
    <t>Agrícola - Milho</t>
  </si>
  <si>
    <t>Agrícola - Cana</t>
  </si>
  <si>
    <t>DIRETÓRIO DE ROTAS DE PRODUÇÃO DE BIOCOMBUSTÍVEIS</t>
  </si>
  <si>
    <r>
      <t>Emissões de N</t>
    </r>
    <r>
      <rPr>
        <b/>
        <vertAlign val="subscript"/>
        <sz val="11"/>
        <color theme="0"/>
        <rFont val="Calibri Light"/>
        <family val="2"/>
      </rPr>
      <t>2</t>
    </r>
    <r>
      <rPr>
        <b/>
        <sz val="11"/>
        <color theme="0"/>
        <rFont val="Calibri Light"/>
        <family val="2"/>
      </rPr>
      <t xml:space="preserve">O diretas e indiretas </t>
    </r>
  </si>
  <si>
    <r>
      <t>N</t>
    </r>
    <r>
      <rPr>
        <b/>
        <vertAlign val="subscript"/>
        <sz val="11"/>
        <rFont val="Calibri Light"/>
        <family val="2"/>
      </rPr>
      <t>2</t>
    </r>
    <r>
      <rPr>
        <b/>
        <sz val="11"/>
        <rFont val="Calibri Light"/>
        <family val="2"/>
      </rPr>
      <t>O= 44/28*(FE</t>
    </r>
    <r>
      <rPr>
        <b/>
        <vertAlign val="subscript"/>
        <sz val="11"/>
        <rFont val="Calibri Light"/>
        <family val="2"/>
      </rPr>
      <t>1</t>
    </r>
    <r>
      <rPr>
        <b/>
        <sz val="11"/>
        <rFont val="Calibri Light"/>
        <family val="2"/>
      </rPr>
      <t>*(N</t>
    </r>
    <r>
      <rPr>
        <b/>
        <vertAlign val="subscript"/>
        <sz val="11"/>
        <rFont val="Calibri Light"/>
        <family val="2"/>
      </rPr>
      <t>tot</t>
    </r>
    <r>
      <rPr>
        <b/>
        <sz val="11"/>
        <rFont val="Calibri Light"/>
        <family val="2"/>
      </rPr>
      <t>+N</t>
    </r>
    <r>
      <rPr>
        <b/>
        <vertAlign val="subscript"/>
        <sz val="11"/>
        <rFont val="Calibri Light"/>
        <family val="2"/>
      </rPr>
      <t>rc</t>
    </r>
    <r>
      <rPr>
        <b/>
        <sz val="11"/>
        <rFont val="Calibri Light"/>
        <family val="2"/>
      </rPr>
      <t>)+FE</t>
    </r>
    <r>
      <rPr>
        <b/>
        <vertAlign val="subscript"/>
        <sz val="11"/>
        <rFont val="Calibri Light"/>
        <family val="2"/>
      </rPr>
      <t>4</t>
    </r>
    <r>
      <rPr>
        <b/>
        <sz val="11"/>
        <rFont val="Calibri Light"/>
        <family val="2"/>
      </rPr>
      <t>*14/17*NH</t>
    </r>
    <r>
      <rPr>
        <b/>
        <vertAlign val="subscript"/>
        <sz val="11"/>
        <rFont val="Calibri Light"/>
        <family val="2"/>
      </rPr>
      <t>3</t>
    </r>
    <r>
      <rPr>
        <b/>
        <sz val="11"/>
        <rFont val="Calibri Light"/>
        <family val="2"/>
      </rPr>
      <t>+FE</t>
    </r>
    <r>
      <rPr>
        <b/>
        <vertAlign val="subscript"/>
        <sz val="11"/>
        <rFont val="Calibri Light"/>
        <family val="2"/>
      </rPr>
      <t>5</t>
    </r>
    <r>
      <rPr>
        <b/>
        <sz val="11"/>
        <rFont val="Calibri Light"/>
        <family val="2"/>
      </rPr>
      <t>*14/62*NO</t>
    </r>
    <r>
      <rPr>
        <b/>
        <vertAlign val="subscript"/>
        <sz val="11"/>
        <rFont val="Calibri Light"/>
        <family val="2"/>
      </rPr>
      <t>3-</t>
    </r>
    <r>
      <rPr>
        <b/>
        <sz val="11"/>
        <rFont val="Calibri Light"/>
        <family val="2"/>
      </rPr>
      <t>)</t>
    </r>
  </si>
  <si>
    <r>
      <t>N</t>
    </r>
    <r>
      <rPr>
        <vertAlign val="subscript"/>
        <sz val="11"/>
        <rFont val="Calibri Light"/>
        <family val="2"/>
      </rPr>
      <t>2</t>
    </r>
    <r>
      <rPr>
        <sz val="11"/>
        <rFont val="Calibri Light"/>
        <family val="2"/>
      </rPr>
      <t>O = Emissões de N</t>
    </r>
    <r>
      <rPr>
        <vertAlign val="subscript"/>
        <sz val="11"/>
        <rFont val="Calibri Light"/>
        <family val="2"/>
      </rPr>
      <t>2</t>
    </r>
    <r>
      <rPr>
        <sz val="11"/>
        <rFont val="Calibri Light"/>
        <family val="2"/>
      </rPr>
      <t xml:space="preserve">O [kg/ha]  </t>
    </r>
  </si>
  <si>
    <r>
      <t>FE</t>
    </r>
    <r>
      <rPr>
        <vertAlign val="subscript"/>
        <sz val="11"/>
        <rFont val="Calibri Light"/>
        <family val="2"/>
      </rPr>
      <t>1</t>
    </r>
    <r>
      <rPr>
        <sz val="11"/>
        <rFont val="Calibri Light"/>
        <family val="2"/>
      </rPr>
      <t>= 0,01</t>
    </r>
  </si>
  <si>
    <r>
      <t>N</t>
    </r>
    <r>
      <rPr>
        <vertAlign val="subscript"/>
        <sz val="11"/>
        <rFont val="Calibri Light"/>
        <family val="2"/>
      </rPr>
      <t>tot</t>
    </r>
    <r>
      <rPr>
        <sz val="11"/>
        <rFont val="Calibri Light"/>
        <family val="2"/>
      </rPr>
      <t>= N</t>
    </r>
    <r>
      <rPr>
        <vertAlign val="subscript"/>
        <sz val="11"/>
        <rFont val="Calibri Light"/>
        <family val="2"/>
      </rPr>
      <t>min_fert</t>
    </r>
    <r>
      <rPr>
        <sz val="11"/>
        <rFont val="Calibri Light"/>
        <family val="2"/>
      </rPr>
      <t>+N</t>
    </r>
    <r>
      <rPr>
        <vertAlign val="subscript"/>
        <sz val="11"/>
        <rFont val="Calibri Light"/>
        <family val="2"/>
      </rPr>
      <t>org_fert</t>
    </r>
  </si>
  <si>
    <r>
      <t>N</t>
    </r>
    <r>
      <rPr>
        <vertAlign val="subscript"/>
        <sz val="11"/>
        <rFont val="Calibri Light"/>
        <family val="2"/>
      </rPr>
      <t>rc</t>
    </r>
    <r>
      <rPr>
        <sz val="11"/>
        <rFont val="Calibri Light"/>
        <family val="2"/>
      </rPr>
      <t>= Quantidade de N em resíduos culturais [kg/ha]</t>
    </r>
  </si>
  <si>
    <r>
      <t>FE</t>
    </r>
    <r>
      <rPr>
        <vertAlign val="subscript"/>
        <sz val="11"/>
        <rFont val="Calibri Light"/>
        <family val="2"/>
      </rPr>
      <t>4</t>
    </r>
    <r>
      <rPr>
        <sz val="11"/>
        <rFont val="Calibri Light"/>
        <family val="2"/>
      </rPr>
      <t>= 0,01</t>
    </r>
  </si>
  <si>
    <r>
      <t>NH</t>
    </r>
    <r>
      <rPr>
        <vertAlign val="subscript"/>
        <sz val="11"/>
        <rFont val="Calibri Light"/>
        <family val="2"/>
      </rPr>
      <t>3</t>
    </r>
    <r>
      <rPr>
        <sz val="11"/>
        <rFont val="Calibri Light"/>
        <family val="2"/>
      </rPr>
      <t>= Perdas de Nitrogênio na forma de amônia [kg/ha]</t>
    </r>
  </si>
  <si>
    <r>
      <t>FE</t>
    </r>
    <r>
      <rPr>
        <vertAlign val="subscript"/>
        <sz val="11"/>
        <rFont val="Calibri Light"/>
        <family val="2"/>
      </rPr>
      <t>5</t>
    </r>
    <r>
      <rPr>
        <sz val="11"/>
        <rFont val="Calibri Light"/>
        <family val="2"/>
      </rPr>
      <t>= 0,0075</t>
    </r>
  </si>
  <si>
    <r>
      <t>NO</t>
    </r>
    <r>
      <rPr>
        <vertAlign val="subscript"/>
        <sz val="11"/>
        <rFont val="Calibri Light"/>
        <family val="2"/>
      </rPr>
      <t>3-</t>
    </r>
    <r>
      <rPr>
        <sz val="11"/>
        <rFont val="Calibri Light"/>
        <family val="2"/>
      </rPr>
      <t>= Perdas de Nitrogênio na forma de nitrato [kg/ha]</t>
    </r>
  </si>
  <si>
    <r>
      <t>NH</t>
    </r>
    <r>
      <rPr>
        <b/>
        <vertAlign val="subscript"/>
        <sz val="11"/>
        <rFont val="Calibri Light"/>
        <family val="2"/>
      </rPr>
      <t>3</t>
    </r>
    <r>
      <rPr>
        <b/>
        <sz val="11"/>
        <rFont val="Calibri Light"/>
        <family val="2"/>
      </rPr>
      <t>= (N</t>
    </r>
    <r>
      <rPr>
        <b/>
        <vertAlign val="subscript"/>
        <sz val="11"/>
        <rFont val="Calibri Light"/>
        <family val="2"/>
      </rPr>
      <t>min_fert</t>
    </r>
    <r>
      <rPr>
        <b/>
        <sz val="11"/>
        <rFont val="Calibri Light"/>
        <family val="2"/>
      </rPr>
      <t>*0,1+N</t>
    </r>
    <r>
      <rPr>
        <b/>
        <vertAlign val="subscript"/>
        <sz val="11"/>
        <rFont val="Calibri Light"/>
        <family val="2"/>
      </rPr>
      <t>org_fert</t>
    </r>
    <r>
      <rPr>
        <b/>
        <sz val="11"/>
        <rFont val="Calibri Light"/>
        <family val="2"/>
      </rPr>
      <t>*0,2)*17/14</t>
    </r>
  </si>
  <si>
    <r>
      <t>N</t>
    </r>
    <r>
      <rPr>
        <vertAlign val="subscript"/>
        <sz val="11"/>
        <rFont val="Calibri Light"/>
        <family val="2"/>
      </rPr>
      <t>min_fert</t>
    </r>
    <r>
      <rPr>
        <sz val="11"/>
        <rFont val="Calibri Light"/>
        <family val="2"/>
      </rPr>
      <t>= kg N/ha em fertilizantes minerais</t>
    </r>
  </si>
  <si>
    <r>
      <t>N</t>
    </r>
    <r>
      <rPr>
        <vertAlign val="subscript"/>
        <sz val="11"/>
        <rFont val="Calibri Light"/>
        <family val="2"/>
      </rPr>
      <t>org_fert</t>
    </r>
    <r>
      <rPr>
        <sz val="11"/>
        <rFont val="Calibri Light"/>
        <family val="2"/>
      </rPr>
      <t>= kg N/ha em fertilizantes orgânicos</t>
    </r>
  </si>
  <si>
    <r>
      <t>0,1= Fração de N em fertilizante mineral (sintético) que volatiliza como NH</t>
    </r>
    <r>
      <rPr>
        <vertAlign val="subscript"/>
        <sz val="11"/>
        <rFont val="Calibri Light"/>
        <family val="2"/>
      </rPr>
      <t xml:space="preserve">3 </t>
    </r>
    <r>
      <rPr>
        <sz val="11"/>
        <rFont val="Calibri Light"/>
        <family val="2"/>
      </rPr>
      <t>e NO</t>
    </r>
    <r>
      <rPr>
        <vertAlign val="subscript"/>
        <sz val="11"/>
        <rFont val="Calibri Light"/>
        <family val="2"/>
      </rPr>
      <t>x</t>
    </r>
  </si>
  <si>
    <r>
      <t>0,2= Fração de N em fertilizante orgânico que volatiliza como NH</t>
    </r>
    <r>
      <rPr>
        <vertAlign val="subscript"/>
        <sz val="11"/>
        <rFont val="Calibri Light"/>
        <family val="2"/>
      </rPr>
      <t xml:space="preserve">3 </t>
    </r>
    <r>
      <rPr>
        <sz val="11"/>
        <rFont val="Calibri Light"/>
        <family val="2"/>
      </rPr>
      <t>e NO</t>
    </r>
    <r>
      <rPr>
        <vertAlign val="subscript"/>
        <sz val="11"/>
        <rFont val="Calibri Light"/>
        <family val="2"/>
      </rPr>
      <t>x</t>
    </r>
  </si>
  <si>
    <r>
      <t>N</t>
    </r>
    <r>
      <rPr>
        <vertAlign val="subscript"/>
        <sz val="11"/>
        <rFont val="Calibri Light"/>
        <family val="2"/>
      </rPr>
      <t>rc</t>
    </r>
    <r>
      <rPr>
        <sz val="11"/>
        <rFont val="Calibri Light"/>
        <family val="2"/>
      </rPr>
      <t>= kg N/ha em resíduos culturais</t>
    </r>
  </si>
  <si>
    <r>
      <t>N</t>
    </r>
    <r>
      <rPr>
        <b/>
        <vertAlign val="subscript"/>
        <sz val="10"/>
        <color theme="1"/>
        <rFont val="Calibri Light"/>
        <family val="2"/>
      </rPr>
      <t xml:space="preserve">rc </t>
    </r>
    <r>
      <rPr>
        <b/>
        <sz val="10"/>
        <color theme="1"/>
        <rFont val="Calibri Light"/>
        <family val="2"/>
      </rPr>
      <t>CANA DE AÇÚCAR =</t>
    </r>
  </si>
  <si>
    <r>
      <t>N</t>
    </r>
    <r>
      <rPr>
        <b/>
        <vertAlign val="subscript"/>
        <sz val="10"/>
        <color theme="1"/>
        <rFont val="Calibri Light"/>
        <family val="2"/>
      </rPr>
      <t>rc</t>
    </r>
    <r>
      <rPr>
        <b/>
        <sz val="10"/>
        <color theme="1"/>
        <rFont val="Calibri Light"/>
        <family val="2"/>
      </rPr>
      <t xml:space="preserve"> MILHO E SOJA = </t>
    </r>
  </si>
  <si>
    <r>
      <t>N</t>
    </r>
    <r>
      <rPr>
        <vertAlign val="subscript"/>
        <sz val="11"/>
        <rFont val="Calibri Light"/>
        <family val="2"/>
      </rPr>
      <t>min_fert</t>
    </r>
    <r>
      <rPr>
        <sz val="11"/>
        <rFont val="Calibri Light"/>
        <family val="2"/>
      </rPr>
      <t xml:space="preserve"> (kg N/ha)</t>
    </r>
  </si>
  <si>
    <r>
      <t>N</t>
    </r>
    <r>
      <rPr>
        <vertAlign val="subscript"/>
        <sz val="11"/>
        <rFont val="Calibri Light"/>
        <family val="2"/>
      </rPr>
      <t>org_fert</t>
    </r>
    <r>
      <rPr>
        <sz val="11"/>
        <rFont val="Calibri Light"/>
        <family val="2"/>
      </rPr>
      <t xml:space="preserve"> (kg N/ha)</t>
    </r>
  </si>
  <si>
    <r>
      <t>N</t>
    </r>
    <r>
      <rPr>
        <vertAlign val="subscript"/>
        <sz val="11"/>
        <rFont val="Calibri Light"/>
        <family val="2"/>
      </rPr>
      <t>rc</t>
    </r>
    <r>
      <rPr>
        <sz val="11"/>
        <rFont val="Calibri Light"/>
        <family val="2"/>
      </rPr>
      <t xml:space="preserve"> (kg N/ha)</t>
    </r>
  </si>
  <si>
    <r>
      <t>NH</t>
    </r>
    <r>
      <rPr>
        <vertAlign val="subscript"/>
        <sz val="11"/>
        <rFont val="Calibri Light"/>
        <family val="2"/>
      </rPr>
      <t>3</t>
    </r>
  </si>
  <si>
    <r>
      <t>NO</t>
    </r>
    <r>
      <rPr>
        <vertAlign val="subscript"/>
        <sz val="11"/>
        <rFont val="Calibri Light"/>
        <family val="2"/>
      </rPr>
      <t>3-</t>
    </r>
  </si>
  <si>
    <r>
      <t>N</t>
    </r>
    <r>
      <rPr>
        <vertAlign val="subscript"/>
        <sz val="11"/>
        <rFont val="Calibri Light"/>
        <family val="2"/>
      </rPr>
      <t>2</t>
    </r>
    <r>
      <rPr>
        <sz val="11"/>
        <rFont val="Calibri Light"/>
        <family val="2"/>
      </rPr>
      <t>O</t>
    </r>
  </si>
  <si>
    <r>
      <t>Emissões de N</t>
    </r>
    <r>
      <rPr>
        <b/>
        <vertAlign val="subscript"/>
        <sz val="11"/>
        <color theme="0"/>
        <rFont val="Calibri Light"/>
        <family val="2"/>
      </rPr>
      <t>2</t>
    </r>
    <r>
      <rPr>
        <b/>
        <sz val="11"/>
        <color theme="0"/>
        <rFont val="Calibri Light"/>
        <family val="2"/>
      </rPr>
      <t>O e CH</t>
    </r>
    <r>
      <rPr>
        <b/>
        <vertAlign val="subscript"/>
        <sz val="11"/>
        <color theme="0"/>
        <rFont val="Calibri Light"/>
        <family val="2"/>
      </rPr>
      <t>4</t>
    </r>
    <r>
      <rPr>
        <b/>
        <sz val="11"/>
        <color theme="0"/>
        <rFont val="Calibri Light"/>
        <family val="2"/>
      </rPr>
      <t xml:space="preserve"> da palha queimada do campo - Apenas para Cana de Açúcar</t>
    </r>
  </si>
  <si>
    <r>
      <t>N</t>
    </r>
    <r>
      <rPr>
        <b/>
        <vertAlign val="subscript"/>
        <sz val="11"/>
        <color theme="1"/>
        <rFont val="Calibri Light"/>
        <family val="2"/>
      </rPr>
      <t>2</t>
    </r>
    <r>
      <rPr>
        <b/>
        <sz val="11"/>
        <color theme="1"/>
        <rFont val="Calibri Light"/>
        <family val="2"/>
      </rPr>
      <t>O</t>
    </r>
  </si>
  <si>
    <r>
      <t>CH</t>
    </r>
    <r>
      <rPr>
        <b/>
        <vertAlign val="subscript"/>
        <sz val="11"/>
        <color theme="1"/>
        <rFont val="Calibri Light"/>
        <family val="2"/>
      </rPr>
      <t>4 Bio</t>
    </r>
  </si>
  <si>
    <t>Calcário Calcítico (kg CO₂/kg)</t>
  </si>
  <si>
    <r>
      <t>Emissões de CO</t>
    </r>
    <r>
      <rPr>
        <b/>
        <vertAlign val="subscript"/>
        <sz val="11"/>
        <color theme="0"/>
        <rFont val="Calibri Light"/>
        <family val="2"/>
      </rPr>
      <t>2 fóssil</t>
    </r>
    <r>
      <rPr>
        <b/>
        <sz val="11"/>
        <color theme="0"/>
        <rFont val="Calibri Light"/>
        <family val="2"/>
      </rPr>
      <t xml:space="preserve"> após aplicação de Calcário e Uréia</t>
    </r>
  </si>
  <si>
    <t>Resídos culturais</t>
  </si>
  <si>
    <t>Emissões de N2O</t>
  </si>
  <si>
    <r>
      <t>Emissões de N</t>
    </r>
    <r>
      <rPr>
        <vertAlign val="subscript"/>
        <sz val="11"/>
        <color theme="1"/>
        <rFont val="Calibri Light"/>
        <family val="2"/>
      </rPr>
      <t>2</t>
    </r>
    <r>
      <rPr>
        <sz val="11"/>
        <color theme="1"/>
        <rFont val="Calibri Light"/>
        <family val="2"/>
      </rPr>
      <t>O (kg/ha)</t>
    </r>
  </si>
  <si>
    <r>
      <t>Emissões de CH</t>
    </r>
    <r>
      <rPr>
        <vertAlign val="subscript"/>
        <sz val="11"/>
        <color theme="1"/>
        <rFont val="Calibri Light"/>
        <family val="2"/>
      </rPr>
      <t xml:space="preserve">4 </t>
    </r>
    <r>
      <rPr>
        <sz val="11"/>
        <color theme="1"/>
        <rFont val="Calibri Light"/>
        <family val="2"/>
      </rPr>
      <t>(kg/ha)</t>
    </r>
  </si>
  <si>
    <t>Quantidade de palha queimada</t>
  </si>
  <si>
    <t>Fatores de emissão (kg/t palha bs):</t>
  </si>
  <si>
    <t>Não alterar posições das informações nessa planilha!</t>
  </si>
  <si>
    <t>SN</t>
  </si>
  <si>
    <t>CAR</t>
  </si>
  <si>
    <t>Ativo</t>
  </si>
  <si>
    <t>Sistema_Plantio</t>
  </si>
  <si>
    <t>Rota_Biodiesel</t>
  </si>
  <si>
    <t>Residuos</t>
  </si>
  <si>
    <t>Agrotóxico</t>
  </si>
  <si>
    <t>Industrial - HEFA</t>
  </si>
  <si>
    <t>Etapa industrial - Produção de bioquerosene</t>
  </si>
  <si>
    <t>Nota de Eficiência Energético-Ambiental
(g CO₂eq/MJ)</t>
  </si>
  <si>
    <t>Intensidade de Carbono
(g CO₂eq/MJ)</t>
  </si>
  <si>
    <r>
      <t>NO</t>
    </r>
    <r>
      <rPr>
        <b/>
        <vertAlign val="subscript"/>
        <sz val="11"/>
        <rFont val="Calibri Light"/>
        <family val="2"/>
      </rPr>
      <t>3</t>
    </r>
    <r>
      <rPr>
        <b/>
        <sz val="11"/>
        <rFont val="Calibri Light"/>
        <family val="2"/>
      </rPr>
      <t>= (N</t>
    </r>
    <r>
      <rPr>
        <b/>
        <vertAlign val="subscript"/>
        <sz val="11"/>
        <rFont val="Calibri Light"/>
        <family val="2"/>
      </rPr>
      <t>min_fert</t>
    </r>
    <r>
      <rPr>
        <b/>
        <sz val="11"/>
        <rFont val="Calibri Light"/>
        <family val="2"/>
      </rPr>
      <t>+N</t>
    </r>
    <r>
      <rPr>
        <b/>
        <vertAlign val="subscript"/>
        <sz val="11"/>
        <rFont val="Calibri Light"/>
        <family val="2"/>
      </rPr>
      <t>org_fert+</t>
    </r>
    <r>
      <rPr>
        <b/>
        <sz val="11"/>
        <rFont val="Calibri Light"/>
        <family val="2"/>
      </rPr>
      <t>N</t>
    </r>
    <r>
      <rPr>
        <b/>
        <vertAlign val="subscript"/>
        <sz val="11"/>
        <rFont val="Calibri Light"/>
        <family val="2"/>
      </rPr>
      <t>rc</t>
    </r>
    <r>
      <rPr>
        <b/>
        <sz val="11"/>
        <rFont val="Calibri Light"/>
        <family val="2"/>
      </rPr>
      <t>)*0,3*62/14</t>
    </r>
  </si>
  <si>
    <t>ABIOVE</t>
  </si>
  <si>
    <r>
      <t>g CO</t>
    </r>
    <r>
      <rPr>
        <vertAlign val="subscript"/>
        <sz val="11"/>
        <rFont val="Calibri Light"/>
        <family val="2"/>
      </rPr>
      <t>2 eq</t>
    </r>
    <r>
      <rPr>
        <sz val="11"/>
        <rFont val="Calibri Light"/>
        <family val="2"/>
      </rPr>
      <t xml:space="preserve">/t </t>
    </r>
    <r>
      <rPr>
        <vertAlign val="subscript"/>
        <sz val="11"/>
        <rFont val="Calibri Light"/>
        <family val="2"/>
      </rPr>
      <t>MLC</t>
    </r>
  </si>
  <si>
    <r>
      <t>g CO</t>
    </r>
    <r>
      <rPr>
        <b/>
        <vertAlign val="subscript"/>
        <sz val="11"/>
        <color theme="0"/>
        <rFont val="Calibri Light"/>
        <family val="2"/>
      </rPr>
      <t>2 eq</t>
    </r>
    <r>
      <rPr>
        <b/>
        <sz val="11"/>
        <color theme="0"/>
        <rFont val="Calibri Light"/>
        <family val="2"/>
      </rPr>
      <t xml:space="preserve">/t </t>
    </r>
    <r>
      <rPr>
        <b/>
        <vertAlign val="subscript"/>
        <sz val="11"/>
        <color theme="0"/>
        <rFont val="Calibri Light"/>
        <family val="2"/>
      </rPr>
      <t>MLC</t>
    </r>
  </si>
  <si>
    <r>
      <t xml:space="preserve">kg/t </t>
    </r>
    <r>
      <rPr>
        <vertAlign val="subscript"/>
        <sz val="11"/>
        <rFont val="Calibri Light"/>
        <family val="2"/>
      </rPr>
      <t>MLC</t>
    </r>
  </si>
  <si>
    <r>
      <t xml:space="preserve">tkm/t </t>
    </r>
    <r>
      <rPr>
        <vertAlign val="subscript"/>
        <sz val="11"/>
        <rFont val="Calibri Light"/>
        <family val="2"/>
      </rPr>
      <t>MLC</t>
    </r>
  </si>
  <si>
    <t>Energia elétrica excedente</t>
  </si>
  <si>
    <t>BioQAV</t>
  </si>
  <si>
    <t>Gasolina renovável</t>
  </si>
  <si>
    <t>Diesel renovável</t>
  </si>
  <si>
    <t>GLP renovável</t>
  </si>
  <si>
    <t>Diesel renovável (HEFA)</t>
  </si>
  <si>
    <t>Gasolina renovável (HEFA)</t>
  </si>
  <si>
    <t>Emissões totais - g CO₂ eq/MJ</t>
  </si>
  <si>
    <t>Petrobras</t>
  </si>
  <si>
    <t>Óleo combustível</t>
  </si>
  <si>
    <t>Etanol hidratado próprio</t>
  </si>
  <si>
    <t>Etanol anidro próprio</t>
  </si>
  <si>
    <t>CO₂ eq - queima do óleo combustível</t>
  </si>
  <si>
    <t>CO₂ eq - queima do etanol hidratado próprio</t>
  </si>
  <si>
    <t>CO₂ eq - queima do etanol anidro próprio</t>
  </si>
  <si>
    <t>Óleo combusível</t>
  </si>
  <si>
    <t>Gás combustível renovável próprio</t>
  </si>
  <si>
    <r>
      <t>CO₂ eq</t>
    </r>
    <r>
      <rPr>
        <sz val="11"/>
        <rFont val="Calibri Light"/>
        <family val="2"/>
      </rPr>
      <t xml:space="preserve"> - queima do gás combustível renovável</t>
    </r>
  </si>
  <si>
    <t>Nm³/t óleo</t>
  </si>
  <si>
    <t>Gás combustível renovável</t>
  </si>
  <si>
    <t xml:space="preserve">Gasolina renovável </t>
  </si>
  <si>
    <t>Produtos_HEFA</t>
  </si>
  <si>
    <t>Biocombustível</t>
  </si>
  <si>
    <t>Combustível fóssil substiuto</t>
  </si>
  <si>
    <t>Intensidade de carbono do combustível fóssil substiuto (g CO₂ eq/MJ)</t>
  </si>
  <si>
    <t>Bioquerosene de aviação</t>
  </si>
  <si>
    <t>Outros óleos</t>
  </si>
  <si>
    <t>Transesterificação</t>
  </si>
  <si>
    <t>Fóssil substituto: Diesel</t>
  </si>
  <si>
    <t>Fóssil substituto: Gasolina</t>
  </si>
  <si>
    <t>Fóssil substituto: Média entre Gasolina, Diesel e GNV</t>
  </si>
  <si>
    <t>Borras</t>
  </si>
  <si>
    <t>Outros resíduos de origem animal</t>
  </si>
  <si>
    <t>Torta de filtro, cinzas e fuligem</t>
  </si>
  <si>
    <t>Bagaço de cana-de-açúcar e sorgo</t>
  </si>
  <si>
    <t>Vinhaça e outros efluentes agroindustriais</t>
  </si>
  <si>
    <t>Cascas, tocos, ramos, folhas, agulhas, copas de árvores, aparas florestais e serragem provenientes de florestas plantadas</t>
  </si>
  <si>
    <t xml:space="preserve"> </t>
  </si>
  <si>
    <t xml:space="preserve">	Sabugo de milho</t>
  </si>
  <si>
    <t>Cascas de arroz, de noz, de café e similares</t>
  </si>
  <si>
    <t>Palhas de cana-de-açúcar, de milho, de sorgo e de trigo</t>
  </si>
  <si>
    <t>Cama de aviário</t>
  </si>
  <si>
    <t>Resíduos de alimentos em geral</t>
  </si>
  <si>
    <t>Resíduos sólidos orgânicos de processos industriais, de origem biológica</t>
  </si>
  <si>
    <t>Biogás de aterro sanitário</t>
  </si>
  <si>
    <t>Dejetos animais</t>
  </si>
  <si>
    <t>Esgoto sanitário e lodo de estação de tratamento de efluentes</t>
  </si>
  <si>
    <t>L/ ano</t>
  </si>
  <si>
    <t xml:space="preserve">              Combustíveis e eletricidade</t>
  </si>
  <si>
    <t>L/ t soja</t>
  </si>
  <si>
    <r>
      <t>g CO</t>
    </r>
    <r>
      <rPr>
        <vertAlign val="subscript"/>
        <sz val="11"/>
        <rFont val="Calibri Light"/>
        <family val="2"/>
      </rPr>
      <t>2 eq</t>
    </r>
    <r>
      <rPr>
        <sz val="11"/>
        <rFont val="Calibri Light"/>
        <family val="2"/>
      </rPr>
      <t xml:space="preserve">/kg </t>
    </r>
    <r>
      <rPr>
        <vertAlign val="subscript"/>
        <sz val="11"/>
        <rFont val="Calibri Light"/>
        <family val="2"/>
      </rPr>
      <t>biodiesel</t>
    </r>
  </si>
  <si>
    <r>
      <t xml:space="preserve">kg/t </t>
    </r>
    <r>
      <rPr>
        <vertAlign val="subscript"/>
        <sz val="11"/>
        <rFont val="Calibri Light"/>
        <family val="2"/>
      </rPr>
      <t>biodiesel</t>
    </r>
  </si>
  <si>
    <r>
      <t xml:space="preserve">tkm/t </t>
    </r>
    <r>
      <rPr>
        <vertAlign val="subscript"/>
        <sz val="11"/>
        <rFont val="Calibri Light"/>
        <family val="2"/>
      </rPr>
      <t>biodiesel</t>
    </r>
  </si>
  <si>
    <r>
      <t>g CO</t>
    </r>
    <r>
      <rPr>
        <vertAlign val="subscript"/>
        <sz val="11"/>
        <rFont val="Calibri Light"/>
        <family val="2"/>
      </rPr>
      <t>2 eq</t>
    </r>
    <r>
      <rPr>
        <sz val="11"/>
        <rFont val="Calibri Light"/>
        <family val="2"/>
      </rPr>
      <t xml:space="preserve">/t </t>
    </r>
    <r>
      <rPr>
        <vertAlign val="subscript"/>
        <sz val="11"/>
        <rFont val="Calibri Light"/>
        <family val="2"/>
      </rPr>
      <t>biodiesel</t>
    </r>
  </si>
  <si>
    <t>L/ t óleo</t>
  </si>
  <si>
    <r>
      <t>g CO</t>
    </r>
    <r>
      <rPr>
        <vertAlign val="subscript"/>
        <sz val="11"/>
        <rFont val="Calibri Light"/>
        <family val="2"/>
      </rPr>
      <t>2 eq</t>
    </r>
    <r>
      <rPr>
        <sz val="11"/>
        <rFont val="Calibri Light"/>
        <family val="2"/>
      </rPr>
      <t xml:space="preserve">/kg </t>
    </r>
    <r>
      <rPr>
        <vertAlign val="subscript"/>
        <sz val="11"/>
        <rFont val="Calibri Light"/>
        <family val="2"/>
      </rPr>
      <t>biometano</t>
    </r>
  </si>
  <si>
    <t>Emissões do ciclo de vida dos processos de transporte</t>
  </si>
  <si>
    <t>Composição e distâncias médias dos sistemas logísticos de transporte</t>
  </si>
  <si>
    <t>Ferroviário</t>
  </si>
  <si>
    <t>Marítimo</t>
  </si>
  <si>
    <t>Fluvial</t>
  </si>
  <si>
    <t>E2G</t>
  </si>
  <si>
    <t>E1G M</t>
  </si>
  <si>
    <t>E1G C</t>
  </si>
  <si>
    <t>E1G MI</t>
  </si>
  <si>
    <t>BioQavHEFA</t>
  </si>
  <si>
    <t xml:space="preserve">- </t>
  </si>
  <si>
    <t xml:space="preserve"> -</t>
  </si>
  <si>
    <t>Sistema logístico rodoviário</t>
  </si>
  <si>
    <t>Sistema logístico dutoviário</t>
  </si>
  <si>
    <t>Sistema logístico ferroviário</t>
  </si>
  <si>
    <t>Sistema logístico fluvial</t>
  </si>
  <si>
    <t>Distância de transporte fluvial</t>
  </si>
  <si>
    <t>Transporte fluvial</t>
  </si>
  <si>
    <t>Incluir emissões do transporte fluvial de milho</t>
  </si>
  <si>
    <t>Sistema logístico marítimo</t>
  </si>
  <si>
    <t>Óleo de soja próprio</t>
  </si>
  <si>
    <t>Óleo de soja fornecedores</t>
  </si>
  <si>
    <t>g CO₂ eq/kg óleo</t>
  </si>
  <si>
    <t>Intensidade de Carbono média do óleo adquirido pela unidade produtora</t>
  </si>
  <si>
    <t>Emissões do ciclo de vida dos combustíveis fósseis substitutos dos biocombustíveis</t>
  </si>
  <si>
    <t>Processamento efetivo - óleo de soja próprio</t>
  </si>
  <si>
    <t>Distância de transporte - óleo de soja próprio</t>
  </si>
  <si>
    <t>Processamento efetivo - óleo de soja fornecedores</t>
  </si>
  <si>
    <t>Distância de transporte - óleo de soja fornecedores</t>
  </si>
  <si>
    <t>Transporte óleo de soja até a usina - fornecedores</t>
  </si>
  <si>
    <t>Biogás próprio</t>
  </si>
  <si>
    <t>Biogás de terceiros</t>
  </si>
  <si>
    <t>PCI do biogás</t>
  </si>
  <si>
    <t>CO₂ eq - queima do biogás próprio</t>
  </si>
  <si>
    <t>CO₂ eq - queima do biogás de terceiros</t>
  </si>
  <si>
    <t>excluir linhas</t>
  </si>
  <si>
    <t>Nm³/t MLC</t>
  </si>
  <si>
    <t>1 MLC</t>
  </si>
  <si>
    <t>Óleo de soja próprio - agrícola</t>
  </si>
  <si>
    <t>Óleo de soja próprio - extração</t>
  </si>
  <si>
    <r>
      <t>m</t>
    </r>
    <r>
      <rPr>
        <vertAlign val="superscript"/>
        <sz val="11"/>
        <color theme="1" tint="4.9989318521683403E-2"/>
        <rFont val="Calibri Light"/>
        <family val="2"/>
      </rPr>
      <t>3</t>
    </r>
    <r>
      <rPr>
        <sz val="11"/>
        <color theme="1" tint="4.9989318521683403E-2"/>
        <rFont val="Calibri Light"/>
        <family val="2"/>
      </rPr>
      <t>/ ano</t>
    </r>
  </si>
  <si>
    <t>PCI do gás combustível renovável</t>
  </si>
  <si>
    <t>Palha de própria</t>
  </si>
  <si>
    <t>Gás combustível renovável (HEFA)</t>
  </si>
  <si>
    <t>Emissões por MJ de etanol anidro</t>
  </si>
  <si>
    <t>Emissões por MJ de etanol hidratado</t>
  </si>
  <si>
    <t>Emissões por MJ de biodiesel</t>
  </si>
  <si>
    <t>Óleo de soja de terceiros</t>
  </si>
  <si>
    <t>Emissões por MJ de bioQAV</t>
  </si>
  <si>
    <t>Emissões por MJ de gasolina renovável</t>
  </si>
  <si>
    <t>Emissões por MJ de diesel renovável</t>
  </si>
  <si>
    <t>Emissões por MJ de biometano</t>
  </si>
  <si>
    <t>Aporte total de óleo de fritura usado processado</t>
  </si>
  <si>
    <t>Aporte total de gordura animal processada</t>
  </si>
  <si>
    <t>Aporte total de outros óleos residuais processado</t>
  </si>
  <si>
    <t>Distância média de transporte - óleo de soja</t>
  </si>
  <si>
    <t>t óleo/ano</t>
  </si>
  <si>
    <t>t gordura animal/ano</t>
  </si>
  <si>
    <t>Razão Social:</t>
  </si>
  <si>
    <t>Fase agrícola - Dados consolidados</t>
  </si>
  <si>
    <t>Etanol combustível de primeira geração produzido a partir de cana-de-açúcar</t>
  </si>
  <si>
    <t>Etanol combustível de primeira e segunda geração produzido em usina integrada</t>
  </si>
  <si>
    <t>Etanol combustível de segunda geração</t>
  </si>
  <si>
    <t>Etanol combustível de primeira geração produzido a partir de milho</t>
  </si>
  <si>
    <t>Etanol combustível importado de primeira geração produzido a partir de milho</t>
  </si>
  <si>
    <t>Combustíveis alternativos sintetizados por ácidos graxos e ésteres hidroprocessados (HEFA) de soja</t>
  </si>
  <si>
    <t>Gasolina alternativa</t>
  </si>
  <si>
    <t>Diesel alternativo</t>
  </si>
  <si>
    <t>Querosene alternativo (bioquerosene)</t>
  </si>
  <si>
    <t>Fase de distribuição</t>
  </si>
  <si>
    <t>Não deve ser preenchido. Cálculo automático</t>
  </si>
  <si>
    <r>
      <t xml:space="preserve">Quantidade de material lignocelulósico (MLC) processado </t>
    </r>
    <r>
      <rPr>
        <sz val="9"/>
        <color rgb="FFFF0000"/>
        <rFont val="Calibri Light"/>
        <family val="2"/>
      </rPr>
      <t>(base seca)</t>
    </r>
  </si>
  <si>
    <t>Fornecedores de cana-de-açúcar- Dados consolidados</t>
  </si>
  <si>
    <t>A RenovaCalc é a ferramenta de cálculo de intensidade de carbono dos biocombustíveis e geração da Nota de Eficiência Energético-Ambiental, de acordo com o referencial metodológico estabelecido no RenovaBio.</t>
  </si>
  <si>
    <t xml:space="preserve"> kg N/t cana</t>
  </si>
  <si>
    <t>Diesel A</t>
  </si>
  <si>
    <t>Gás combustível alternativo</t>
  </si>
  <si>
    <t>Média ponderada: Diesel A, Gasolina A e GNV</t>
  </si>
  <si>
    <t>Fase industrial - produção dos combustíveis alternativos</t>
  </si>
  <si>
    <t>Rendimento - Gasolina alternativa</t>
  </si>
  <si>
    <t>Rendimento - Diesel alternativa</t>
  </si>
  <si>
    <t>Rendimento - Gás combustível alternativa</t>
  </si>
  <si>
    <t>Fase agrícola - Dados Consolidados</t>
  </si>
  <si>
    <t>Fase agrícola - Produtores de milho - Dados consolidados</t>
  </si>
  <si>
    <t>Fase agrícola - Produtores de Cana-de-açúcar - Dados Consolidados</t>
  </si>
  <si>
    <r>
      <rPr>
        <b/>
        <sz val="11"/>
        <color theme="1" tint="0.34998626667073579"/>
        <rFont val="Tahoma"/>
        <family val="2"/>
      </rPr>
      <t>1.</t>
    </r>
    <r>
      <rPr>
        <sz val="11"/>
        <color theme="1" tint="0.34998626667073579"/>
        <rFont val="Tahoma"/>
        <family val="2"/>
      </rPr>
      <t xml:space="preserve"> Só devem ser preenchidas as células demarcadas em pontilhado:</t>
    </r>
  </si>
  <si>
    <r>
      <rPr>
        <b/>
        <sz val="11"/>
        <color theme="1" tint="0.34998626667073579"/>
        <rFont val="Tahoma"/>
        <family val="2"/>
      </rPr>
      <t>2.</t>
    </r>
    <r>
      <rPr>
        <sz val="11"/>
        <color theme="1" tint="0.34998626667073579"/>
        <rFont val="Tahoma"/>
        <family val="2"/>
      </rPr>
      <t xml:space="preserve"> Quando o parâmetro for zero, o campo deverá ser deixado em branco.</t>
    </r>
  </si>
  <si>
    <r>
      <rPr>
        <b/>
        <sz val="11"/>
        <color theme="1" tint="0.34998626667073579"/>
        <rFont val="Tahoma"/>
        <family val="2"/>
      </rPr>
      <t>3.</t>
    </r>
    <r>
      <rPr>
        <sz val="11"/>
        <color theme="1" tint="0.34998626667073579"/>
        <rFont val="Tahoma"/>
        <family val="2"/>
      </rPr>
      <t xml:space="preserve"> A unidade de preenchimento de cada parâmetro é fixa e estará sempre indicada ao lado da célula que deve ser preenchida. Por exemplo:</t>
    </r>
  </si>
  <si>
    <r>
      <t xml:space="preserve">3.1. O usuário deve </t>
    </r>
    <r>
      <rPr>
        <b/>
        <sz val="11"/>
        <color theme="1" tint="0.34998626667073579"/>
        <rFont val="Tahoma"/>
        <family val="2"/>
      </rPr>
      <t>sempre inserir os dados na unidade pré-indicada</t>
    </r>
    <r>
      <rPr>
        <sz val="11"/>
        <color theme="1" tint="0.34998626667073579"/>
        <rFont val="Tahoma"/>
        <family val="2"/>
      </rPr>
      <t>, sendo considerado incorreto qualquer dado que esteja em outra unidade.</t>
    </r>
  </si>
  <si>
    <t>3.2. Ao selecionar a célula a ser preenchida, orientações de como preencher cada parâmetro serão fornecidas.    Por exemplo:</t>
  </si>
  <si>
    <r>
      <rPr>
        <b/>
        <sz val="11"/>
        <color theme="1" tint="0.34998626667073579"/>
        <rFont val="Tahoma"/>
        <family val="2"/>
      </rPr>
      <t xml:space="preserve">4. </t>
    </r>
    <r>
      <rPr>
        <sz val="11"/>
        <color theme="1" tint="0.34998626667073579"/>
        <rFont val="Tahoma"/>
        <family val="2"/>
      </rPr>
      <t>O usuário deve sempre preencher os dados</t>
    </r>
    <r>
      <rPr>
        <b/>
        <sz val="11"/>
        <color theme="1" tint="0.34998626667073579"/>
        <rFont val="Tahoma"/>
        <family val="2"/>
      </rPr>
      <t xml:space="preserve"> </t>
    </r>
    <r>
      <rPr>
        <sz val="11"/>
        <color theme="1" tint="0.34998626667073579"/>
        <rFont val="Tahoma"/>
        <family val="2"/>
      </rPr>
      <t xml:space="preserve">com </t>
    </r>
    <r>
      <rPr>
        <b/>
        <sz val="11"/>
        <color theme="1" tint="0.34998626667073579"/>
        <rFont val="Tahoma"/>
        <family val="2"/>
      </rPr>
      <t>até duas casas decimais</t>
    </r>
    <r>
      <rPr>
        <sz val="11"/>
        <color theme="1" tint="0.34998626667073579"/>
        <rFont val="Tahoma"/>
        <family val="2"/>
      </rPr>
      <t>, para evitar problemas de arredondamento.</t>
    </r>
  </si>
  <si>
    <r>
      <rPr>
        <b/>
        <sz val="11"/>
        <color theme="1" tint="0.34998626667073579"/>
        <rFont val="Tahoma"/>
        <family val="2"/>
      </rPr>
      <t xml:space="preserve">5. </t>
    </r>
    <r>
      <rPr>
        <sz val="11"/>
        <color theme="1" tint="0.34998626667073579"/>
        <rFont val="Tahoma"/>
        <family val="2"/>
      </rPr>
      <t>As informações referentes à fase agrícola devem ser preenchidas de acordo com o que foi calculado no arquivo correspondente de "produtores de biomassa". Devem ser preenchidos apenas os dados consolidados da fase agrícola.</t>
    </r>
  </si>
  <si>
    <r>
      <rPr>
        <b/>
        <sz val="11"/>
        <color theme="1" tint="0.34998626667073579"/>
        <rFont val="Tahoma"/>
        <family val="2"/>
      </rPr>
      <t xml:space="preserve">6. </t>
    </r>
    <r>
      <rPr>
        <sz val="11"/>
        <color theme="1" tint="0.34998626667073579"/>
        <rFont val="Tahoma"/>
        <family val="2"/>
      </rPr>
      <t xml:space="preserve">As informações referentes à fase industrial independem do atendimento aos critérios de elegibilidade. Devem </t>
    </r>
    <r>
      <rPr>
        <b/>
        <sz val="11"/>
        <color theme="1" tint="0.34998626667073579"/>
        <rFont val="Tahoma"/>
        <family val="2"/>
      </rPr>
      <t xml:space="preserve">sempre ser preenchidas as quantidades totais </t>
    </r>
    <r>
      <rPr>
        <sz val="11"/>
        <color theme="1" tint="0.34998626667073579"/>
        <rFont val="Tahoma"/>
        <family val="2"/>
      </rPr>
      <t>utilizadas pela unidade produtora de biocombustível.</t>
    </r>
  </si>
  <si>
    <t>Etanol combustível de primeira geração produzido a partir de cana-de-açúcar e milho em usina integrada</t>
  </si>
  <si>
    <t>Processamento e Rendimentos</t>
  </si>
  <si>
    <t>Produção de Açúcar</t>
  </si>
  <si>
    <t>Rendimento Energia elétrica comercializada</t>
  </si>
  <si>
    <t>Alguma fração dessa matéria-prima é elegível?</t>
  </si>
  <si>
    <r>
      <t>g CO</t>
    </r>
    <r>
      <rPr>
        <b/>
        <vertAlign val="subscript"/>
        <sz val="11"/>
        <color theme="0"/>
        <rFont val="Calibri Light"/>
        <family val="2"/>
      </rPr>
      <t>2 eq</t>
    </r>
    <r>
      <rPr>
        <b/>
        <sz val="11"/>
        <color theme="0"/>
        <rFont val="Calibri Light"/>
        <family val="2"/>
      </rPr>
      <t xml:space="preserve">/t </t>
    </r>
    <r>
      <rPr>
        <b/>
        <vertAlign val="subscript"/>
        <sz val="11"/>
        <color theme="0"/>
        <rFont val="Calibri Light"/>
        <family val="2"/>
      </rPr>
      <t>matéria-prima</t>
    </r>
  </si>
  <si>
    <r>
      <t>g CO</t>
    </r>
    <r>
      <rPr>
        <b/>
        <vertAlign val="subscript"/>
        <sz val="11"/>
        <color theme="0"/>
        <rFont val="Calibri Light"/>
        <family val="2"/>
      </rPr>
      <t>2 eq</t>
    </r>
    <r>
      <rPr>
        <b/>
        <sz val="11"/>
        <color theme="0"/>
        <rFont val="Calibri Light"/>
        <family val="2"/>
      </rPr>
      <t xml:space="preserve">/t </t>
    </r>
    <r>
      <rPr>
        <b/>
        <vertAlign val="subscript"/>
        <sz val="11"/>
        <color theme="0"/>
        <rFont val="Calibri Light"/>
        <family val="2"/>
      </rPr>
      <t>óleo especíco</t>
    </r>
  </si>
  <si>
    <r>
      <t>g CO</t>
    </r>
    <r>
      <rPr>
        <vertAlign val="subscript"/>
        <sz val="11"/>
        <rFont val="Calibri Light"/>
        <family val="2"/>
      </rPr>
      <t>2 eq</t>
    </r>
    <r>
      <rPr>
        <sz val="11"/>
        <rFont val="Calibri Light"/>
        <family val="2"/>
      </rPr>
      <t xml:space="preserve">/kg </t>
    </r>
    <r>
      <rPr>
        <vertAlign val="subscript"/>
        <sz val="11"/>
        <rFont val="Calibri Light"/>
        <family val="2"/>
      </rPr>
      <t>óleo de soja</t>
    </r>
    <r>
      <rPr>
        <sz val="11"/>
        <rFont val="Calibri Light"/>
        <family val="2"/>
      </rPr>
      <t xml:space="preserve"> de terceiros</t>
    </r>
  </si>
  <si>
    <r>
      <t>g CO</t>
    </r>
    <r>
      <rPr>
        <vertAlign val="subscript"/>
        <sz val="11"/>
        <rFont val="Calibri Light"/>
        <family val="2"/>
      </rPr>
      <t>2 eq</t>
    </r>
    <r>
      <rPr>
        <sz val="11"/>
        <rFont val="Calibri Light"/>
        <family val="2"/>
      </rPr>
      <t xml:space="preserve">/kg </t>
    </r>
    <r>
      <rPr>
        <vertAlign val="subscript"/>
        <sz val="11"/>
        <rFont val="Calibri Light"/>
        <family val="2"/>
      </rPr>
      <t>óleo de palma</t>
    </r>
  </si>
  <si>
    <r>
      <t>g CO</t>
    </r>
    <r>
      <rPr>
        <vertAlign val="subscript"/>
        <sz val="11"/>
        <rFont val="Calibri Light"/>
        <family val="2"/>
      </rPr>
      <t>2 eq</t>
    </r>
    <r>
      <rPr>
        <sz val="11"/>
        <rFont val="Calibri Light"/>
        <family val="2"/>
      </rPr>
      <t xml:space="preserve">/kg </t>
    </r>
    <r>
      <rPr>
        <vertAlign val="subscript"/>
        <sz val="11"/>
        <rFont val="Calibri Light"/>
        <family val="2"/>
      </rPr>
      <t>óleo de algodão</t>
    </r>
  </si>
  <si>
    <t>Alguma fração elegível</t>
  </si>
  <si>
    <r>
      <t xml:space="preserve">Quantidade comprada pela unidade produtora de biocombustível </t>
    </r>
    <r>
      <rPr>
        <sz val="9"/>
        <color theme="1" tint="4.9989318521683403E-2"/>
        <rFont val="Calibri Light"/>
        <family val="2"/>
      </rPr>
      <t>(base úmida)</t>
    </r>
  </si>
  <si>
    <t>Quantidade comprada pela unidade produtora de biocombustível</t>
  </si>
  <si>
    <t>Unidade da Intensidade de Carbono</t>
  </si>
  <si>
    <r>
      <t>g CO</t>
    </r>
    <r>
      <rPr>
        <vertAlign val="subscript"/>
        <sz val="11"/>
        <rFont val="Calibri Light"/>
        <family val="2"/>
      </rPr>
      <t>2 eq</t>
    </r>
    <r>
      <rPr>
        <sz val="11"/>
        <rFont val="Calibri Light"/>
        <family val="2"/>
      </rPr>
      <t xml:space="preserve">/kg </t>
    </r>
    <r>
      <rPr>
        <vertAlign val="subscript"/>
        <sz val="11"/>
        <rFont val="Calibri Light"/>
        <family val="2"/>
      </rPr>
      <t>outros óleos vegetais</t>
    </r>
  </si>
  <si>
    <r>
      <t>g CO2 eq/kg</t>
    </r>
    <r>
      <rPr>
        <vertAlign val="subscript"/>
        <sz val="11"/>
        <rFont val="Calibri Light"/>
        <family val="2"/>
      </rPr>
      <t xml:space="preserve"> Outros oleos residuais</t>
    </r>
  </si>
  <si>
    <r>
      <t xml:space="preserve">g CO2 eq/kg </t>
    </r>
    <r>
      <rPr>
        <vertAlign val="subscript"/>
        <sz val="11"/>
        <rFont val="Calibri Light"/>
        <family val="2"/>
      </rPr>
      <t>Gordura animal</t>
    </r>
  </si>
  <si>
    <r>
      <t xml:space="preserve">g CO2 eq/kg </t>
    </r>
    <r>
      <rPr>
        <vertAlign val="subscript"/>
        <sz val="11"/>
        <rFont val="Calibri Light"/>
        <family val="2"/>
      </rPr>
      <t xml:space="preserve"> Óleo de fritura</t>
    </r>
  </si>
  <si>
    <t>Quantidade de materia-prima elegível</t>
  </si>
  <si>
    <r>
      <t xml:space="preserve">t </t>
    </r>
    <r>
      <rPr>
        <b/>
        <vertAlign val="subscript"/>
        <sz val="11"/>
        <color theme="0"/>
        <rFont val="Calibri Light"/>
        <family val="2"/>
      </rPr>
      <t>matéria-prima elegível</t>
    </r>
  </si>
  <si>
    <r>
      <t xml:space="preserve">% </t>
    </r>
    <r>
      <rPr>
        <b/>
        <vertAlign val="subscript"/>
        <sz val="11"/>
        <color theme="0"/>
        <rFont val="Calibri Light"/>
        <family val="2"/>
      </rPr>
      <t>matéria-prima elegível</t>
    </r>
  </si>
  <si>
    <t>Intensidade de Carbono da Matéria-prima não elegível</t>
  </si>
  <si>
    <r>
      <t xml:space="preserve">% </t>
    </r>
    <r>
      <rPr>
        <b/>
        <vertAlign val="subscript"/>
        <sz val="11"/>
        <color theme="0"/>
        <rFont val="Calibri Light"/>
        <family val="2"/>
      </rPr>
      <t>materia-prima elegível</t>
    </r>
    <r>
      <rPr>
        <b/>
        <sz val="11"/>
        <color theme="0"/>
        <rFont val="Calibri Light"/>
        <family val="2"/>
      </rPr>
      <t xml:space="preserve"> * IC </t>
    </r>
    <r>
      <rPr>
        <b/>
        <vertAlign val="subscript"/>
        <sz val="11"/>
        <color theme="0"/>
        <rFont val="Calibri Light"/>
        <family val="2"/>
      </rPr>
      <t>materia-prima elegível</t>
    </r>
  </si>
  <si>
    <r>
      <t>g CO</t>
    </r>
    <r>
      <rPr>
        <b/>
        <vertAlign val="subscript"/>
        <sz val="11"/>
        <color theme="0"/>
        <rFont val="Calibri Light"/>
        <family val="2"/>
      </rPr>
      <t>2 eq</t>
    </r>
    <r>
      <rPr>
        <b/>
        <sz val="11"/>
        <color theme="0"/>
        <rFont val="Calibri Light"/>
        <family val="2"/>
      </rPr>
      <t xml:space="preserve">/kg </t>
    </r>
    <r>
      <rPr>
        <b/>
        <vertAlign val="subscript"/>
        <sz val="11"/>
        <color theme="0"/>
        <rFont val="Calibri Light"/>
        <family val="2"/>
      </rPr>
      <t>materia-prima não elegível</t>
    </r>
  </si>
  <si>
    <t>Intensidade de Carbono da Matéria-prima (referência)</t>
  </si>
  <si>
    <t>Intensidade de Carbono da Matéria-prima (utilizada)</t>
  </si>
  <si>
    <t>Versão</t>
  </si>
  <si>
    <t>Controle das alterações na RenovaCalc</t>
  </si>
  <si>
    <t xml:space="preserve"> Alteração na rota de Biodiesel e CombAlternHEFA (Adição da pergunta "Alguma fração dessa matéria-prima é elegível?" na etapa da Fase Industrial para óleo de soja próprio, óleo de soja de terceiros, óleo de palma, óleo de algodão e outros óleos vegetais)  </t>
  </si>
  <si>
    <t xml:space="preserve"> Revisão das formatações das células</t>
  </si>
  <si>
    <t xml:space="preserve"> Retirada do limite superior das células.</t>
  </si>
  <si>
    <t xml:space="preserve"> E1GC, na célula C17. Ajustado o erro para chamar a _E1GC antes chamava a célula a aba _EGC1, que não existe.</t>
  </si>
  <si>
    <t xml:space="preserve"> Adição da fórmula : =D26*(1-G26)+D28 na célula D31 (MLC) na rota do E2G.  </t>
  </si>
  <si>
    <t xml:space="preserve"> Arrumação das mensagens de entrada nas células. </t>
  </si>
  <si>
    <t>2.1</t>
  </si>
  <si>
    <t>2.2</t>
  </si>
  <si>
    <t>3.</t>
  </si>
  <si>
    <t>Versão publicada da RenovaCalc junto com a publicação da Resolução ANP nº758/2018</t>
  </si>
  <si>
    <t>Data de publicação</t>
  </si>
  <si>
    <t xml:space="preserve"> Planilha EIGC - Desbloqueio da célula G62 / Retificação da validação da célula G63 / Correção das células Y62 e Y63</t>
  </si>
  <si>
    <t xml:space="preserve"> Inluida a função "SEERRO" no cabeçario que cálcula a nota de eficiência para as rotas E1GC, E1G2G, E2G, E1G Flex, E1GM, E1GMI, CombAlterHEFA</t>
  </si>
  <si>
    <t>Usina Hipotetica</t>
  </si>
  <si>
    <t xml:space="preserve">Mario </t>
  </si>
  <si>
    <t>MJ/ano</t>
  </si>
  <si>
    <t>g CO2eq/t cana</t>
  </si>
  <si>
    <t>g CO2eq/t milho</t>
  </si>
  <si>
    <t>g CO2eq</t>
  </si>
  <si>
    <t>total</t>
  </si>
  <si>
    <t>g CO2eq/ano</t>
  </si>
  <si>
    <t>g CO2eq/MJ</t>
  </si>
  <si>
    <t>Pegada agrícola</t>
  </si>
  <si>
    <t>L etanol anidro/ano</t>
  </si>
  <si>
    <t>Total milho</t>
  </si>
  <si>
    <t>Total cana</t>
  </si>
  <si>
    <t>Etano anidro</t>
  </si>
  <si>
    <t>Poder calorif</t>
  </si>
  <si>
    <t>M.espec</t>
  </si>
  <si>
    <t>Intens carbono cana</t>
  </si>
  <si>
    <t>Intens carbono milho</t>
  </si>
  <si>
    <t>4.</t>
  </si>
  <si>
    <t xml:space="preserve"> Ajuste interno no cálculo da etapa industrial na rota "Etanol combustível de primeira geração produzido a partir de cana-de-açúcar e milho em usina integrada"</t>
  </si>
  <si>
    <t xml:space="preserve"> Inclusão na etapa agrícola de todos os produtores de biomassa da célula "Quantidade comprada pela unidade produtora de biocombustível"</t>
  </si>
  <si>
    <t xml:space="preserve">5. </t>
  </si>
  <si>
    <t xml:space="preserve"> Não Aplicado </t>
  </si>
  <si>
    <t xml:space="preserve"> Correção da célula C17 na planilha E1GC. Correção de erro na proteção do arquivo que fazia com que o arquivo abrisse errado em versões diferentes do Excel</t>
  </si>
  <si>
    <t>Jalles Machado S/A - Unidade Otávio Lage</t>
  </si>
  <si>
    <t>02.635.522/0049-30</t>
  </si>
  <si>
    <t>Ivan Cesar Zanatta</t>
  </si>
  <si>
    <t>(62) 3389-9075</t>
  </si>
  <si>
    <t>Adubo: 15.05.19  / 10.00.50  / 10.50.00  / 18.12.26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</si>
</sst>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2">
    <numFmt numFmtId="5" formatCode="&quot;R$&quot;\ #,##0;\-&quot;R$&quot;\ #,##0"/>
    <numFmt numFmtId="6" formatCode="&quot;R$&quot;\ #,##0;[Red]\-&quot;R$&quot;\ #,##0"/>
    <numFmt numFmtId="164" formatCode="_(* #,##0_);_(* \(#,##0\);_(* &quot;-&quot;_);_(@_)"/>
    <numFmt numFmtId="165" formatCode="_(&quot;$&quot;* #,##0.00_);_(&quot;$&quot;* \(#,##0.00\);_(&quot;$&quot;* &quot;-&quot;??_);_(@_)"/>
    <numFmt numFmtId="166" formatCode="_(* #,##0.00_);_(* \(#,##0.00\);_(* &quot;-&quot;??_);_(@_)"/>
    <numFmt numFmtId="167" formatCode="0.000"/>
    <numFmt numFmtId="168" formatCode="0.0"/>
    <numFmt numFmtId="169" formatCode="0.0%"/>
    <numFmt numFmtId="170" formatCode="0.0000"/>
    <numFmt numFmtId="171" formatCode="0.00000"/>
    <numFmt numFmtId="172" formatCode="_(* #,##0.0_);_(* \(#,##0.0\);_(* &quot;-&quot;??_);_(@_)"/>
    <numFmt numFmtId="173" formatCode="#,##0_)"/>
    <numFmt numFmtId="174" formatCode="###0.00_)"/>
    <numFmt numFmtId="175" formatCode="0.0_W"/>
    <numFmt numFmtId="176" formatCode="_([$€-2]* #,##0.00_);_([$€-2]* \(#,##0.00\);_([$€-2]* &quot;-&quot;??_)"/>
    <numFmt numFmtId="177" formatCode="_(* #,##0.0_);_(* \(#,##0.0\);_(&quot;-&quot;_);_(@_)"/>
    <numFmt numFmtId="178" formatCode="#,##0.0000"/>
    <numFmt numFmtId="179" formatCode="0.00000000"/>
    <numFmt numFmtId="180" formatCode="#,##0.0"/>
    <numFmt numFmtId="181" formatCode="_-* #,##0.000_-;\-* #,##0.000_-;_-* &quot;-&quot;???_-;_-@_-"/>
    <numFmt numFmtId="182" formatCode="#,##0.000"/>
    <numFmt numFmtId="183" formatCode="#,##0.000000"/>
  </numFmts>
  <fonts count="148" x14ac:knownFonts="1">
    <font>
      <sz val="11"/>
      <color theme="1"/>
      <name val="Calibri"/>
      <family val="2"/>
      <scheme val="minor"/>
    </font>
    <font>
      <b/>
      <sz val="11"/>
      <color theme="1"/>
      <name val="Calibri"/>
      <family val="2"/>
      <scheme val="minor"/>
    </font>
    <font>
      <sz val="11"/>
      <color theme="1" tint="0.34998626667073579"/>
      <name val="Calibri"/>
      <family val="2"/>
      <scheme val="minor"/>
    </font>
    <font>
      <sz val="11"/>
      <name val="Calibri"/>
      <family val="2"/>
      <scheme val="minor"/>
    </font>
    <font>
      <sz val="10"/>
      <name val="Arial"/>
      <family val="2"/>
    </font>
    <font>
      <sz val="11"/>
      <color theme="1"/>
      <name val="Calibri"/>
      <family val="2"/>
      <scheme val="minor"/>
    </font>
    <font>
      <b/>
      <sz val="11"/>
      <color theme="0"/>
      <name val="Calibri"/>
      <family val="2"/>
      <scheme val="minor"/>
    </font>
    <font>
      <sz val="11"/>
      <color theme="0"/>
      <name val="Calibri"/>
      <family val="2"/>
      <scheme val="minor"/>
    </font>
    <font>
      <b/>
      <vertAlign val="subscript"/>
      <sz val="11"/>
      <color theme="0"/>
      <name val="Calibri"/>
      <family val="2"/>
      <scheme val="minor"/>
    </font>
    <font>
      <sz val="9"/>
      <name val="Times New Roman"/>
      <family val="1"/>
    </font>
    <font>
      <b/>
      <sz val="9"/>
      <name val="Times New Roman"/>
      <family val="1"/>
    </font>
    <font>
      <b/>
      <sz val="12"/>
      <name val="Helv"/>
    </font>
    <font>
      <sz val="9"/>
      <name val="Helv"/>
    </font>
    <font>
      <vertAlign val="superscript"/>
      <sz val="12"/>
      <name val="Helv"/>
    </font>
    <font>
      <sz val="10"/>
      <name val="Helv"/>
    </font>
    <font>
      <b/>
      <sz val="10"/>
      <name val="Arial"/>
      <family val="2"/>
    </font>
    <font>
      <i/>
      <sz val="10"/>
      <color indexed="10"/>
      <name val="Arial"/>
      <family val="2"/>
    </font>
    <font>
      <b/>
      <sz val="12"/>
      <name val="Times New Roman"/>
      <family val="1"/>
    </font>
    <font>
      <b/>
      <sz val="9"/>
      <name val="Helv"/>
    </font>
    <font>
      <sz val="8.5"/>
      <name val="Helv"/>
    </font>
    <font>
      <b/>
      <sz val="10"/>
      <name val="Helv"/>
    </font>
    <font>
      <sz val="1"/>
      <name val="Arial"/>
      <family val="2"/>
    </font>
    <font>
      <sz val="8"/>
      <name val="Helv"/>
    </font>
    <font>
      <sz val="12"/>
      <name val="Helv"/>
    </font>
    <font>
      <b/>
      <sz val="14"/>
      <name val="Helv"/>
    </font>
    <font>
      <u/>
      <sz val="11"/>
      <color theme="10"/>
      <name val="Calibri"/>
      <family val="2"/>
      <scheme val="minor"/>
    </font>
    <font>
      <sz val="11"/>
      <color rgb="FFFF0000"/>
      <name val="Calibri"/>
      <family val="2"/>
      <scheme val="minor"/>
    </font>
    <font>
      <sz val="14"/>
      <color theme="1"/>
      <name val="Calibri"/>
      <family val="2"/>
      <scheme val="minor"/>
    </font>
    <font>
      <b/>
      <sz val="12"/>
      <color theme="8" tint="-0.499984740745262"/>
      <name val="Calibri"/>
      <family val="2"/>
      <scheme val="minor"/>
    </font>
    <font>
      <b/>
      <sz val="18"/>
      <color theme="0"/>
      <name val="Calibri Light"/>
      <family val="2"/>
    </font>
    <font>
      <b/>
      <sz val="13"/>
      <color theme="0"/>
      <name val="Calibri Light"/>
      <family val="2"/>
    </font>
    <font>
      <sz val="10"/>
      <name val="Calibri"/>
      <family val="2"/>
      <scheme val="minor"/>
    </font>
    <font>
      <u/>
      <sz val="11"/>
      <name val="Calibri"/>
      <family val="2"/>
      <scheme val="minor"/>
    </font>
    <font>
      <b/>
      <sz val="10"/>
      <color theme="1"/>
      <name val="Calibri"/>
      <family val="2"/>
      <scheme val="minor"/>
    </font>
    <font>
      <b/>
      <sz val="11"/>
      <color rgb="FFFF0000"/>
      <name val="Calibri"/>
      <family val="2"/>
      <scheme val="minor"/>
    </font>
    <font>
      <sz val="10"/>
      <color indexed="8"/>
      <name val="Arial"/>
      <family val="2"/>
    </font>
    <font>
      <sz val="11"/>
      <color theme="0" tint="-0.34998626667073579"/>
      <name val="Calibri"/>
      <family val="2"/>
      <scheme val="minor"/>
    </font>
    <font>
      <sz val="11"/>
      <color theme="9" tint="-0.249977111117893"/>
      <name val="Calibri"/>
      <family val="2"/>
      <scheme val="minor"/>
    </font>
    <font>
      <sz val="11"/>
      <color theme="0"/>
      <name val="Calibri Light"/>
      <family val="2"/>
    </font>
    <font>
      <sz val="11"/>
      <color theme="1"/>
      <name val="Calibri Light"/>
      <family val="2"/>
    </font>
    <font>
      <b/>
      <sz val="11"/>
      <color rgb="FF002060"/>
      <name val="Calibri Light"/>
      <family val="2"/>
    </font>
    <font>
      <sz val="10"/>
      <color rgb="FFFF0000"/>
      <name val="Calibri Light"/>
      <family val="2"/>
    </font>
    <font>
      <sz val="11"/>
      <color theme="1"/>
      <name val="Tahoma"/>
      <family val="2"/>
    </font>
    <font>
      <sz val="11"/>
      <color theme="1" tint="0.14999847407452621"/>
      <name val="Calibri"/>
      <family val="2"/>
      <scheme val="minor"/>
    </font>
    <font>
      <b/>
      <sz val="11"/>
      <color theme="1" tint="0.14999847407452621"/>
      <name val="Calibri"/>
      <family val="2"/>
      <scheme val="minor"/>
    </font>
    <font>
      <sz val="10"/>
      <color rgb="FF000000"/>
      <name val="Arial"/>
      <family val="2"/>
    </font>
    <font>
      <sz val="11"/>
      <color theme="0" tint="-0.14999847407452621"/>
      <name val="Calibri"/>
      <family val="2"/>
      <scheme val="minor"/>
    </font>
    <font>
      <b/>
      <sz val="16"/>
      <color theme="0"/>
      <name val="Calibri"/>
      <family val="2"/>
      <scheme val="minor"/>
    </font>
    <font>
      <b/>
      <sz val="10"/>
      <name val="Calibri"/>
      <family val="2"/>
      <scheme val="minor"/>
    </font>
    <font>
      <b/>
      <sz val="14"/>
      <color theme="0"/>
      <name val="Calibri Light"/>
      <family val="2"/>
    </font>
    <font>
      <sz val="9"/>
      <name val="Calibri"/>
      <family val="2"/>
      <scheme val="minor"/>
    </font>
    <font>
      <sz val="14"/>
      <color theme="0"/>
      <name val="Calibri Light"/>
      <family val="2"/>
    </font>
    <font>
      <b/>
      <sz val="12"/>
      <color theme="1" tint="0.34998626667073579"/>
      <name val="Calibri"/>
      <family val="2"/>
      <scheme val="minor"/>
    </font>
    <font>
      <b/>
      <sz val="18"/>
      <color theme="1"/>
      <name val="Calibri Light"/>
      <family val="2"/>
    </font>
    <font>
      <sz val="18"/>
      <color theme="1"/>
      <name val="Calibri Light"/>
      <family val="2"/>
    </font>
    <font>
      <b/>
      <sz val="14"/>
      <color theme="1" tint="0.34998626667073579"/>
      <name val="Calibri"/>
      <family val="2"/>
      <scheme val="minor"/>
    </font>
    <font>
      <b/>
      <sz val="14"/>
      <color theme="8" tint="-0.499984740745262"/>
      <name val="Calibri"/>
      <family val="2"/>
      <scheme val="minor"/>
    </font>
    <font>
      <sz val="12"/>
      <color theme="1" tint="4.9989318521683403E-2"/>
      <name val="Calibri Light"/>
      <family val="2"/>
    </font>
    <font>
      <sz val="10"/>
      <color theme="1" tint="4.9989318521683403E-2"/>
      <name val="Tahoma"/>
      <family val="2"/>
    </font>
    <font>
      <sz val="11"/>
      <color theme="1" tint="4.9989318521683403E-2"/>
      <name val="Calibri"/>
      <family val="2"/>
      <scheme val="minor"/>
    </font>
    <font>
      <b/>
      <sz val="13"/>
      <color theme="1" tint="4.9989318521683403E-2"/>
      <name val="Calibri Light"/>
      <family val="2"/>
    </font>
    <font>
      <sz val="11"/>
      <color theme="1" tint="4.9989318521683403E-2"/>
      <name val="Calibri Light"/>
      <family val="2"/>
    </font>
    <font>
      <sz val="10"/>
      <color theme="1" tint="4.9989318521683403E-2"/>
      <name val="Calibri Light"/>
      <family val="2"/>
    </font>
    <font>
      <b/>
      <sz val="14"/>
      <color theme="1" tint="0.34998626667073579"/>
      <name val="Calibri Light"/>
      <family val="2"/>
    </font>
    <font>
      <b/>
      <sz val="12"/>
      <color rgb="FF265EAA"/>
      <name val="Calibri Light"/>
      <family val="2"/>
    </font>
    <font>
      <b/>
      <sz val="12"/>
      <color theme="1" tint="4.9989318521683403E-2"/>
      <name val="Calibri Light"/>
      <family val="2"/>
    </font>
    <font>
      <b/>
      <sz val="12"/>
      <color theme="4" tint="-0.249977111117893"/>
      <name val="Calibri Light"/>
      <family val="2"/>
    </font>
    <font>
      <b/>
      <sz val="13"/>
      <color theme="1" tint="0.249977111117893"/>
      <name val="Calibri Light"/>
      <family val="2"/>
    </font>
    <font>
      <b/>
      <sz val="11"/>
      <color theme="4" tint="-0.249977111117893"/>
      <name val="Calibri Light"/>
      <family val="2"/>
    </font>
    <font>
      <b/>
      <sz val="14"/>
      <color rgb="FFFF0000"/>
      <name val="Calibri Light"/>
      <family val="2"/>
    </font>
    <font>
      <sz val="11"/>
      <color rgb="FFFF0000"/>
      <name val="Calibri Light"/>
      <family val="2"/>
    </font>
    <font>
      <sz val="13"/>
      <color theme="1" tint="4.9989318521683403E-2"/>
      <name val="Calibri Light"/>
      <family val="2"/>
    </font>
    <font>
      <sz val="14"/>
      <color theme="1" tint="4.9989318521683403E-2"/>
      <name val="Calibri Light"/>
      <family val="2"/>
    </font>
    <font>
      <b/>
      <sz val="10"/>
      <color rgb="FF00B050"/>
      <name val="Calibri"/>
      <family val="2"/>
      <scheme val="minor"/>
    </font>
    <font>
      <sz val="11"/>
      <color theme="1" tint="0.14999847407452621"/>
      <name val="Calibri Light"/>
      <family val="2"/>
    </font>
    <font>
      <b/>
      <sz val="14"/>
      <color theme="4" tint="-0.249977111117893"/>
      <name val="Calibri Light"/>
      <family val="2"/>
    </font>
    <font>
      <sz val="10"/>
      <color theme="0" tint="-0.14999847407452621"/>
      <name val="Calibri"/>
      <family val="2"/>
      <scheme val="minor"/>
    </font>
    <font>
      <b/>
      <sz val="16"/>
      <color theme="0"/>
      <name val="Calibri Light"/>
      <family val="2"/>
    </font>
    <font>
      <b/>
      <sz val="11"/>
      <color theme="1" tint="4.9989318521683403E-2"/>
      <name val="Calibri Light"/>
      <family val="2"/>
    </font>
    <font>
      <sz val="14"/>
      <color theme="0"/>
      <name val="Tahoma"/>
      <family val="2"/>
    </font>
    <font>
      <b/>
      <sz val="12"/>
      <color theme="8" tint="-0.499984740745262"/>
      <name val="Tahoma"/>
      <family val="2"/>
    </font>
    <font>
      <b/>
      <sz val="13"/>
      <color theme="0"/>
      <name val="Tahoma"/>
      <family val="2"/>
    </font>
    <font>
      <sz val="12"/>
      <color theme="1" tint="4.9989318521683403E-2"/>
      <name val="Tahoma"/>
      <family val="2"/>
    </font>
    <font>
      <sz val="11"/>
      <color theme="1" tint="0.34998626667073579"/>
      <name val="Tahoma"/>
      <family val="2"/>
    </font>
    <font>
      <b/>
      <sz val="14"/>
      <color theme="8" tint="-0.499984740745262"/>
      <name val="Tahoma"/>
      <family val="2"/>
    </font>
    <font>
      <b/>
      <sz val="11"/>
      <color theme="1" tint="0.34998626667073579"/>
      <name val="Tahoma"/>
      <family val="2"/>
    </font>
    <font>
      <sz val="11"/>
      <color theme="1" tint="0.249977111117893"/>
      <name val="Calibri Light"/>
      <family val="2"/>
    </font>
    <font>
      <sz val="10"/>
      <color indexed="8"/>
      <name val="Calibri"/>
      <family val="2"/>
      <scheme val="minor"/>
    </font>
    <font>
      <sz val="9"/>
      <color indexed="8"/>
      <name val="Calibri"/>
      <family val="2"/>
      <scheme val="minor"/>
    </font>
    <font>
      <sz val="8"/>
      <color indexed="8"/>
      <name val="Calibri"/>
      <family val="2"/>
      <scheme val="minor"/>
    </font>
    <font>
      <sz val="8"/>
      <color theme="0" tint="-0.499984740745262"/>
      <name val="Calibri Light"/>
      <family val="2"/>
    </font>
    <font>
      <sz val="8"/>
      <color theme="1" tint="4.9989318521683403E-2"/>
      <name val="Calibri Light"/>
      <family val="2"/>
    </font>
    <font>
      <sz val="12"/>
      <color theme="1" tint="0.34998626667073579"/>
      <name val="Calibri Light"/>
      <family val="2"/>
    </font>
    <font>
      <sz val="10"/>
      <color theme="1" tint="0.249977111117893"/>
      <name val="Calibri Light"/>
      <family val="2"/>
    </font>
    <font>
      <sz val="11"/>
      <color theme="0" tint="-0.499984740745262"/>
      <name val="Calibri Light"/>
      <family val="2"/>
    </font>
    <font>
      <sz val="12"/>
      <color theme="1" tint="0.249977111117893"/>
      <name val="Calibri Light"/>
      <family val="2"/>
    </font>
    <font>
      <sz val="11"/>
      <color rgb="FF0070C0"/>
      <name val="Calibri Light"/>
      <family val="2"/>
    </font>
    <font>
      <sz val="10"/>
      <color rgb="FF0070C0"/>
      <name val="Calibri Light"/>
      <family val="2"/>
    </font>
    <font>
      <b/>
      <sz val="11"/>
      <color rgb="FF0070C0"/>
      <name val="Calibri"/>
      <family val="2"/>
      <scheme val="minor"/>
    </font>
    <font>
      <sz val="11"/>
      <color rgb="FF0070C0"/>
      <name val="Calibri"/>
      <family val="2"/>
      <scheme val="minor"/>
    </font>
    <font>
      <b/>
      <sz val="11"/>
      <color rgb="FFFFFFFF"/>
      <name val="Calibri Light"/>
      <family val="2"/>
    </font>
    <font>
      <sz val="11"/>
      <name val="Calibri Light"/>
      <family val="2"/>
    </font>
    <font>
      <sz val="11"/>
      <color rgb="FFC0C0C0"/>
      <name val="Calibri Light"/>
      <family val="2"/>
    </font>
    <font>
      <sz val="11"/>
      <color rgb="FF002060"/>
      <name val="Calibri Light"/>
      <family val="2"/>
    </font>
    <font>
      <i/>
      <sz val="11"/>
      <name val="Calibri Light"/>
      <family val="2"/>
    </font>
    <font>
      <vertAlign val="subscript"/>
      <sz val="11"/>
      <name val="Calibri Light"/>
      <family val="2"/>
    </font>
    <font>
      <b/>
      <sz val="11"/>
      <name val="Calibri Light"/>
      <family val="2"/>
    </font>
    <font>
      <i/>
      <sz val="11"/>
      <color theme="2"/>
      <name val="Calibri Light"/>
      <family val="2"/>
    </font>
    <font>
      <b/>
      <sz val="11"/>
      <color theme="0"/>
      <name val="Calibri Light"/>
      <family val="2"/>
    </font>
    <font>
      <b/>
      <vertAlign val="subscript"/>
      <sz val="11"/>
      <color theme="0"/>
      <name val="Calibri Light"/>
      <family val="2"/>
    </font>
    <font>
      <b/>
      <sz val="11"/>
      <color rgb="FF0070C0"/>
      <name val="Calibri Light"/>
      <family val="2"/>
    </font>
    <font>
      <b/>
      <sz val="11"/>
      <color theme="1"/>
      <name val="Calibri Light"/>
      <family val="2"/>
    </font>
    <font>
      <b/>
      <sz val="11"/>
      <color theme="1" tint="0.14999847407452621"/>
      <name val="Calibri Light"/>
      <family val="2"/>
    </font>
    <font>
      <vertAlign val="subscript"/>
      <sz val="11"/>
      <color theme="1"/>
      <name val="Calibri Light"/>
      <family val="2"/>
    </font>
    <font>
      <i/>
      <sz val="11"/>
      <color theme="1"/>
      <name val="Calibri Light"/>
      <family val="2"/>
    </font>
    <font>
      <sz val="11"/>
      <color rgb="FF1F497D"/>
      <name val="Calibri Light"/>
      <family val="2"/>
    </font>
    <font>
      <sz val="11"/>
      <color theme="9"/>
      <name val="Calibri Light"/>
      <family val="2"/>
    </font>
    <font>
      <b/>
      <vertAlign val="subscript"/>
      <sz val="11"/>
      <name val="Calibri Light"/>
      <family val="2"/>
    </font>
    <font>
      <b/>
      <sz val="11"/>
      <color rgb="FFFF0000"/>
      <name val="Calibri Light"/>
      <family val="2"/>
    </font>
    <font>
      <sz val="11"/>
      <color rgb="FF2D70C9"/>
      <name val="Calibri"/>
      <family val="2"/>
      <scheme val="minor"/>
    </font>
    <font>
      <sz val="11"/>
      <color rgb="FF2D70C9"/>
      <name val="Calibri Light"/>
      <family val="2"/>
    </font>
    <font>
      <sz val="9"/>
      <color theme="1" tint="4.9989318521683403E-2"/>
      <name val="Calibri Light"/>
      <family val="2"/>
    </font>
    <font>
      <sz val="11"/>
      <color theme="1" tint="4.9989318521683403E-2"/>
      <name val="Tahoma"/>
      <family val="2"/>
    </font>
    <font>
      <b/>
      <sz val="12"/>
      <color theme="0"/>
      <name val="Calibri Light"/>
      <family val="2"/>
    </font>
    <font>
      <b/>
      <sz val="12"/>
      <color theme="1" tint="0.14999847407452621"/>
      <name val="Calibri Light"/>
      <family val="2"/>
    </font>
    <font>
      <b/>
      <vertAlign val="subscript"/>
      <sz val="12"/>
      <color theme="0"/>
      <name val="Calibri Light"/>
      <family val="2"/>
    </font>
    <font>
      <b/>
      <sz val="12"/>
      <color theme="0"/>
      <name val="Calibri"/>
      <family val="2"/>
    </font>
    <font>
      <sz val="11"/>
      <color theme="0" tint="-0.14999847407452621"/>
      <name val="Calibri Light"/>
      <family val="2"/>
    </font>
    <font>
      <b/>
      <sz val="11"/>
      <color theme="0" tint="-0.14999847407452621"/>
      <name val="Calibri Light"/>
      <family val="2"/>
    </font>
    <font>
      <b/>
      <sz val="14"/>
      <color theme="9"/>
      <name val="Calibri Light"/>
      <family val="2"/>
    </font>
    <font>
      <sz val="10"/>
      <color theme="9"/>
      <name val="Calibri Light"/>
      <family val="2"/>
    </font>
    <font>
      <i/>
      <sz val="11"/>
      <color theme="0"/>
      <name val="Calibri Light"/>
      <family val="2"/>
    </font>
    <font>
      <b/>
      <sz val="10"/>
      <color theme="1"/>
      <name val="Calibri Light"/>
      <family val="2"/>
    </font>
    <font>
      <b/>
      <vertAlign val="subscript"/>
      <sz val="10"/>
      <color theme="1"/>
      <name val="Calibri Light"/>
      <family val="2"/>
    </font>
    <font>
      <sz val="10"/>
      <color theme="1"/>
      <name val="Calibri Light"/>
      <family val="2"/>
    </font>
    <font>
      <sz val="11"/>
      <color rgb="FF265EAA"/>
      <name val="Calibri Light"/>
      <family val="2"/>
    </font>
    <font>
      <b/>
      <vertAlign val="subscript"/>
      <sz val="11"/>
      <color theme="1"/>
      <name val="Calibri Light"/>
      <family val="2"/>
    </font>
    <font>
      <strike/>
      <vertAlign val="subscript"/>
      <sz val="11"/>
      <color theme="1"/>
      <name val="Calibri Light"/>
      <family val="2"/>
    </font>
    <font>
      <sz val="11"/>
      <color rgb="FFC00000"/>
      <name val="Calibri"/>
      <family val="2"/>
      <scheme val="minor"/>
    </font>
    <font>
      <b/>
      <sz val="11"/>
      <color rgb="FF3A67B8"/>
      <name val="Calibri"/>
      <family val="2"/>
      <scheme val="minor"/>
    </font>
    <font>
      <b/>
      <sz val="12"/>
      <color rgb="FFFFFFFF"/>
      <name val="Calibri Light"/>
      <family val="2"/>
    </font>
    <font>
      <vertAlign val="superscript"/>
      <sz val="11"/>
      <color theme="1" tint="4.9989318521683403E-2"/>
      <name val="Calibri Light"/>
      <family val="2"/>
    </font>
    <font>
      <b/>
      <sz val="16"/>
      <color rgb="FFFF0000"/>
      <name val="Calibri Light"/>
      <family val="2"/>
    </font>
    <font>
      <sz val="9"/>
      <color rgb="FFFF0000"/>
      <name val="Calibri Light"/>
      <family val="2"/>
    </font>
    <font>
      <b/>
      <sz val="11"/>
      <color rgb="FF3A67B8"/>
      <name val="Calibri Light"/>
      <family val="2"/>
    </font>
    <font>
      <sz val="17"/>
      <color theme="0"/>
      <name val="Calibri"/>
      <family val="2"/>
      <scheme val="minor"/>
    </font>
    <font>
      <sz val="11"/>
      <color rgb="FF0B744D"/>
      <name val="Calibri"/>
      <family val="2"/>
      <scheme val="minor"/>
    </font>
    <font>
      <sz val="72"/>
      <color theme="0"/>
      <name val="Cambria"/>
      <family val="2"/>
      <scheme val="major"/>
    </font>
  </fonts>
  <fills count="43">
    <fill>
      <patternFill patternType="none"/>
    </fill>
    <fill>
      <patternFill patternType="gray125"/>
    </fill>
    <fill>
      <patternFill patternType="solid">
        <fgColor rgb="FFFFFF00"/>
        <bgColor indexed="64"/>
      </patternFill>
    </fill>
    <fill>
      <patternFill patternType="solid">
        <fgColor theme="6" tint="0.59999389629810485"/>
        <bgColor indexed="65"/>
      </patternFill>
    </fill>
    <fill>
      <patternFill patternType="solid">
        <fgColor indexed="50"/>
        <bgColor indexed="64"/>
      </patternFill>
    </fill>
    <fill>
      <patternFill patternType="solid">
        <fgColor theme="9" tint="0.59996337778862885"/>
        <bgColor indexed="64"/>
      </patternFill>
    </fill>
    <fill>
      <patternFill patternType="solid">
        <fgColor indexed="44"/>
        <bgColor indexed="64"/>
      </patternFill>
    </fill>
    <fill>
      <patternFill patternType="solid">
        <fgColor rgb="FFF7710D"/>
        <bgColor indexed="64"/>
      </patternFill>
    </fill>
    <fill>
      <patternFill patternType="solid">
        <fgColor indexed="30"/>
        <bgColor indexed="64"/>
      </patternFill>
    </fill>
    <fill>
      <patternFill patternType="solid">
        <fgColor theme="0"/>
        <bgColor indexed="64"/>
      </patternFill>
    </fill>
    <fill>
      <patternFill patternType="solid">
        <fgColor indexed="22"/>
        <bgColor indexed="9"/>
      </patternFill>
    </fill>
    <fill>
      <patternFill patternType="solid">
        <fgColor indexed="22"/>
        <bgColor indexed="64"/>
      </patternFill>
    </fill>
    <fill>
      <patternFill patternType="darkTrellis"/>
    </fill>
    <fill>
      <patternFill patternType="solid">
        <fgColor indexed="22"/>
        <bgColor indexed="55"/>
      </patternFill>
    </fill>
    <fill>
      <patternFill patternType="solid">
        <fgColor theme="8" tint="-0.249977111117893"/>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249977111117893"/>
        <bgColor rgb="FF000000"/>
      </patternFill>
    </fill>
    <fill>
      <patternFill patternType="solid">
        <fgColor rgb="FFF0F1F2"/>
        <bgColor indexed="64"/>
      </patternFill>
    </fill>
    <fill>
      <patternFill patternType="solid">
        <fgColor theme="8" tint="-0.499984740745262"/>
        <bgColor indexed="64"/>
      </patternFill>
    </fill>
    <fill>
      <patternFill patternType="solid">
        <fgColor rgb="FFD2ED61"/>
        <bgColor indexed="64"/>
      </patternFill>
    </fill>
    <fill>
      <patternFill patternType="solid">
        <fgColor rgb="FF4B9FD7"/>
        <bgColor indexed="64"/>
      </patternFill>
    </fill>
    <fill>
      <patternFill patternType="solid">
        <fgColor rgb="FFB2B2B2"/>
        <bgColor indexed="64"/>
      </patternFill>
    </fill>
    <fill>
      <patternFill patternType="solid">
        <fgColor rgb="FF265EAA"/>
        <bgColor indexed="64"/>
      </patternFill>
    </fill>
    <fill>
      <patternFill patternType="solid">
        <fgColor theme="0" tint="-4.9989318521683403E-2"/>
        <bgColor rgb="FF000000"/>
      </patternFill>
    </fill>
    <fill>
      <patternFill patternType="solid">
        <fgColor theme="2"/>
        <bgColor indexed="64"/>
      </patternFill>
    </fill>
    <fill>
      <patternFill patternType="solid">
        <fgColor rgb="FFA8C615"/>
        <bgColor indexed="64"/>
      </patternFill>
    </fill>
    <fill>
      <patternFill patternType="solid">
        <fgColor theme="4"/>
        <bgColor indexed="64"/>
      </patternFill>
    </fill>
    <fill>
      <patternFill patternType="solid">
        <fgColor theme="4" tint="0.39997558519241921"/>
        <bgColor indexed="64"/>
      </patternFill>
    </fill>
    <fill>
      <patternFill patternType="solid">
        <fgColor theme="4" tint="0.79998168889431442"/>
        <bgColor indexed="64"/>
      </patternFill>
    </fill>
    <fill>
      <gradientFill type="path" left="0.5" right="0.5" top="0.5" bottom="0.5">
        <stop position="0">
          <color rgb="FF3A67B8"/>
        </stop>
        <stop position="1">
          <color rgb="FF8EB4E6"/>
        </stop>
      </gradientFill>
    </fill>
    <fill>
      <patternFill patternType="solid">
        <fgColor theme="9" tint="0.59999389629810485"/>
        <bgColor indexed="64"/>
      </patternFill>
    </fill>
    <fill>
      <patternFill patternType="solid">
        <fgColor theme="8"/>
        <bgColor rgb="FF000000"/>
      </patternFill>
    </fill>
    <fill>
      <patternFill patternType="solid">
        <fgColor rgb="FF8EB4E6"/>
        <bgColor indexed="64"/>
      </patternFill>
    </fill>
    <fill>
      <patternFill patternType="solid">
        <fgColor rgb="FFF0F1F2"/>
        <bgColor rgb="FF000000"/>
      </patternFill>
    </fill>
    <fill>
      <patternFill patternType="solid">
        <fgColor rgb="FFFFFF00"/>
        <bgColor rgb="FF000000"/>
      </patternFill>
    </fill>
    <fill>
      <patternFill patternType="solid">
        <fgColor rgb="FF1F4E78"/>
        <bgColor indexed="64"/>
      </patternFill>
    </fill>
    <fill>
      <patternFill patternType="solid">
        <fgColor theme="0" tint="-0.499984740745262"/>
        <bgColor indexed="64"/>
      </patternFill>
    </fill>
    <fill>
      <patternFill patternType="solid">
        <fgColor rgb="FF217346"/>
        <bgColor indexed="64"/>
      </patternFill>
    </fill>
    <fill>
      <patternFill patternType="solid">
        <fgColor rgb="FFFFFF99"/>
        <bgColor indexed="64"/>
      </patternFill>
    </fill>
    <fill>
      <patternFill patternType="solid">
        <fgColor rgb="FF339966"/>
        <bgColor indexed="64"/>
      </patternFill>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22"/>
      </bottom>
      <diagonal/>
    </border>
    <border>
      <left/>
      <right/>
      <top/>
      <bottom style="hair">
        <color indexed="64"/>
      </bottom>
      <diagonal/>
    </border>
    <border>
      <left/>
      <right/>
      <top/>
      <bottom style="thin">
        <color indexed="64"/>
      </bottom>
      <diagonal/>
    </border>
    <border>
      <left/>
      <right/>
      <top/>
      <bottom style="hair">
        <color indexed="8"/>
      </bottom>
      <diagonal/>
    </border>
    <border>
      <left style="dotted">
        <color indexed="64"/>
      </left>
      <right style="dotted">
        <color indexed="64"/>
      </right>
      <top style="dotted">
        <color indexed="64"/>
      </top>
      <bottom/>
      <diagonal/>
    </border>
    <border>
      <left style="dotted">
        <color indexed="64"/>
      </left>
      <right style="dotted">
        <color indexed="64"/>
      </right>
      <top style="dotted">
        <color indexed="64"/>
      </top>
      <bottom style="dotted">
        <color indexed="64"/>
      </bottom>
      <diagonal/>
    </border>
    <border>
      <left style="medium">
        <color theme="0"/>
      </left>
      <right/>
      <top/>
      <bottom/>
      <diagonal/>
    </border>
    <border>
      <left/>
      <right/>
      <top style="dotted">
        <color indexed="64"/>
      </top>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right/>
      <top/>
      <bottom style="thin">
        <color rgb="FF8EB4E6"/>
      </bottom>
      <diagonal/>
    </border>
    <border>
      <left/>
      <right/>
      <top/>
      <bottom style="thin">
        <color theme="0"/>
      </bottom>
      <diagonal/>
    </border>
    <border>
      <left/>
      <right style="dotted">
        <color indexed="64"/>
      </right>
      <top/>
      <bottom/>
      <diagonal/>
    </border>
    <border>
      <left style="dotted">
        <color indexed="64"/>
      </left>
      <right style="dotted">
        <color indexed="64"/>
      </right>
      <top/>
      <bottom style="dotted">
        <color indexed="64"/>
      </bottom>
      <diagonal/>
    </border>
    <border>
      <left/>
      <right/>
      <top/>
      <bottom style="thin">
        <color rgb="FF4B9FD7"/>
      </bottom>
      <diagonal/>
    </border>
    <border>
      <left style="thin">
        <color rgb="FF3A67B8"/>
      </left>
      <right/>
      <top/>
      <bottom/>
      <diagonal/>
    </border>
    <border>
      <left/>
      <right/>
      <top/>
      <bottom style="thin">
        <color rgb="FF3A67B8"/>
      </bottom>
      <diagonal/>
    </border>
    <border>
      <left style="medium">
        <color rgb="FF3A67B8"/>
      </left>
      <right style="medium">
        <color rgb="FF3A67B8"/>
      </right>
      <top style="medium">
        <color rgb="FF3A67B8"/>
      </top>
      <bottom/>
      <diagonal/>
    </border>
    <border>
      <left style="medium">
        <color rgb="FF3A67B8"/>
      </left>
      <right style="medium">
        <color rgb="FF3A67B8"/>
      </right>
      <top/>
      <bottom style="medium">
        <color rgb="FF3A67B8"/>
      </bottom>
      <diagonal/>
    </border>
    <border>
      <left style="medium">
        <color rgb="FF3A67B8"/>
      </left>
      <right style="medium">
        <color rgb="FF3A67B8"/>
      </right>
      <top/>
      <bottom/>
      <diagonal/>
    </border>
    <border>
      <left style="thin">
        <color rgb="FFB2B2B2"/>
      </left>
      <right style="thin">
        <color rgb="FFB2B2B2"/>
      </right>
      <top style="thin">
        <color rgb="FFB2B2B2"/>
      </top>
      <bottom style="thin">
        <color rgb="FFB2B2B2"/>
      </bottom>
      <diagonal/>
    </border>
    <border>
      <left style="thick">
        <color rgb="FFF4B183"/>
      </left>
      <right style="thick">
        <color rgb="FFF4B183"/>
      </right>
      <top style="thick">
        <color rgb="FFF4B183"/>
      </top>
      <bottom style="thick">
        <color rgb="FFF4B183"/>
      </bottom>
      <diagonal/>
    </border>
    <border>
      <left/>
      <right style="thin">
        <color rgb="FF339966"/>
      </right>
      <top/>
      <bottom/>
      <diagonal/>
    </border>
    <border>
      <left style="thin">
        <color rgb="FF339966"/>
      </left>
      <right/>
      <top/>
      <bottom style="thin">
        <color rgb="FF339966"/>
      </bottom>
      <diagonal/>
    </border>
    <border>
      <left style="thin">
        <color rgb="FF339966"/>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99">
    <xf numFmtId="0" fontId="0" fillId="0" borderId="0"/>
    <xf numFmtId="9" fontId="5" fillId="0" borderId="0" applyFont="0" applyFill="0" applyBorder="0" applyAlignment="0" applyProtection="0"/>
    <xf numFmtId="0" fontId="4" fillId="0" borderId="0"/>
    <xf numFmtId="49" fontId="9" fillId="0" borderId="1" applyNumberFormat="0" applyFont="0" applyFill="0" applyBorder="0" applyProtection="0">
      <alignment horizontal="left" vertical="center" indent="2"/>
    </xf>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49" fontId="9" fillId="0" borderId="2" applyNumberFormat="0" applyFont="0" applyFill="0" applyBorder="0" applyProtection="0">
      <alignment horizontal="left" vertical="center" indent="5"/>
    </xf>
    <xf numFmtId="0" fontId="4" fillId="4" borderId="0" applyNumberFormat="0" applyFont="0" applyBorder="0" applyAlignment="0" applyProtection="0"/>
    <xf numFmtId="4" fontId="10" fillId="0" borderId="3" applyFill="0" applyBorder="0" applyProtection="0">
      <alignment horizontal="right" vertical="center"/>
    </xf>
    <xf numFmtId="3" fontId="4" fillId="0" borderId="0" applyFont="0" applyFill="0" applyBorder="0" applyAlignment="0" applyProtection="0"/>
    <xf numFmtId="0" fontId="11" fillId="0" borderId="0">
      <alignment horizontal="left" vertical="center" wrapText="1"/>
    </xf>
    <xf numFmtId="172" fontId="4" fillId="0" borderId="0" applyFont="0" applyFill="0" applyBorder="0" applyAlignment="0" applyProtection="0"/>
    <xf numFmtId="3" fontId="12" fillId="0" borderId="4" applyAlignment="0">
      <alignment horizontal="right" vertical="center"/>
    </xf>
    <xf numFmtId="173" fontId="12" fillId="0" borderId="4">
      <alignment horizontal="right" vertical="center"/>
    </xf>
    <xf numFmtId="49" fontId="13" fillId="0" borderId="4">
      <alignment horizontal="left" vertical="center"/>
    </xf>
    <xf numFmtId="174" fontId="14" fillId="0" borderId="4" applyNumberFormat="0" applyFill="0">
      <alignment horizontal="right"/>
    </xf>
    <xf numFmtId="175" fontId="14" fillId="0" borderId="4">
      <alignment horizontal="right"/>
    </xf>
    <xf numFmtId="0" fontId="4" fillId="0" borderId="0" applyFont="0" applyFill="0" applyBorder="0" applyAlignment="0" applyProtection="0"/>
    <xf numFmtId="0" fontId="4" fillId="5" borderId="0" applyNumberFormat="0" applyFont="0" applyBorder="0" applyAlignment="0">
      <protection locked="0"/>
    </xf>
    <xf numFmtId="0" fontId="4" fillId="6" borderId="0" applyNumberFormat="0" applyFont="0" applyBorder="0" applyAlignment="0" applyProtection="0"/>
    <xf numFmtId="0" fontId="4" fillId="7" borderId="0" applyNumberFormat="0" applyFont="0" applyBorder="0" applyAlignment="0" applyProtection="0"/>
    <xf numFmtId="0" fontId="4" fillId="2" borderId="0" applyNumberFormat="0" applyFont="0" applyBorder="0" applyAlignment="0" applyProtection="0"/>
    <xf numFmtId="3" fontId="15" fillId="8" borderId="0" applyNumberFormat="0" applyFont="0" applyBorder="0" applyAlignment="0" applyProtection="0"/>
    <xf numFmtId="176" fontId="4" fillId="0" borderId="0" applyFont="0" applyFill="0" applyBorder="0" applyAlignment="0" applyProtection="0"/>
    <xf numFmtId="177" fontId="16" fillId="9" borderId="0" applyNumberFormat="0" applyBorder="0" applyAlignment="0">
      <alignment horizontal="left" vertical="center"/>
    </xf>
    <xf numFmtId="2" fontId="4" fillId="0" borderId="0" applyFont="0" applyFill="0" applyBorder="0" applyAlignment="0" applyProtection="0"/>
    <xf numFmtId="0" fontId="17" fillId="0" borderId="0" applyNumberFormat="0" applyFill="0" applyBorder="0" applyAlignment="0" applyProtection="0"/>
    <xf numFmtId="0" fontId="18" fillId="0" borderId="4">
      <alignment horizontal="left"/>
    </xf>
    <xf numFmtId="0" fontId="18" fillId="0" borderId="5">
      <alignment horizontal="right" vertical="center"/>
    </xf>
    <xf numFmtId="0" fontId="19" fillId="0" borderId="4">
      <alignment horizontal="left" vertical="center"/>
    </xf>
    <xf numFmtId="0" fontId="14" fillId="0" borderId="4">
      <alignment horizontal="left" vertical="center"/>
    </xf>
    <xf numFmtId="0" fontId="20" fillId="0" borderId="4">
      <alignment horizontal="left"/>
    </xf>
    <xf numFmtId="0" fontId="20" fillId="10" borderId="0">
      <alignment horizontal="centerContinuous" wrapText="1"/>
    </xf>
    <xf numFmtId="49" fontId="20" fillId="10" borderId="6">
      <alignment horizontal="left" vertical="center"/>
    </xf>
    <xf numFmtId="0" fontId="20" fillId="10" borderId="0">
      <alignment horizontal="centerContinuous" vertical="center" wrapText="1"/>
    </xf>
    <xf numFmtId="164" fontId="21" fillId="0" borderId="0" applyFont="0" applyFill="0" applyBorder="0" applyAlignment="0" applyProtection="0"/>
    <xf numFmtId="166" fontId="21" fillId="0" borderId="0" applyFont="0" applyFill="0" applyBorder="0" applyAlignment="0" applyProtection="0"/>
    <xf numFmtId="9" fontId="21" fillId="0" borderId="0" applyFont="0" applyFill="0" applyBorder="0" applyAlignment="0" applyProtection="0"/>
    <xf numFmtId="165" fontId="21" fillId="0" borderId="0" applyFont="0" applyFill="0" applyBorder="0" applyAlignment="0" applyProtection="0"/>
    <xf numFmtId="0" fontId="5" fillId="0" borderId="0"/>
    <xf numFmtId="0" fontId="5" fillId="0" borderId="0"/>
    <xf numFmtId="0" fontId="5" fillId="0" borderId="0"/>
    <xf numFmtId="0" fontId="5" fillId="0" borderId="0"/>
    <xf numFmtId="49" fontId="10" fillId="0" borderId="1" applyNumberFormat="0" applyFill="0" applyBorder="0" applyProtection="0">
      <alignment horizontal="left" vertical="center"/>
    </xf>
    <xf numFmtId="0" fontId="9" fillId="0" borderId="1" applyNumberFormat="0" applyFill="0" applyAlignment="0" applyProtection="0"/>
    <xf numFmtId="0" fontId="22" fillId="11" borderId="0" applyNumberFormat="0" applyFont="0" applyBorder="0" applyAlignment="0" applyProtection="0"/>
    <xf numFmtId="178" fontId="9" fillId="12" borderId="1" applyNumberFormat="0" applyFont="0" applyBorder="0" applyAlignment="0" applyProtection="0">
      <alignment horizontal="right" vertical="center"/>
    </xf>
    <xf numFmtId="9" fontId="4" fillId="0" borderId="0" applyFont="0" applyFill="0" applyBorder="0" applyAlignment="0" applyProtection="0"/>
    <xf numFmtId="3" fontId="12" fillId="0" borderId="0">
      <alignment horizontal="left" vertical="center"/>
    </xf>
    <xf numFmtId="0" fontId="23" fillId="0" borderId="0">
      <alignment horizontal="left" vertical="center"/>
    </xf>
    <xf numFmtId="166" fontId="4" fillId="0" borderId="0" applyFont="0" applyFill="0" applyBorder="0" applyAlignment="0" applyProtection="0"/>
    <xf numFmtId="0" fontId="22" fillId="0" borderId="0">
      <alignment horizontal="right"/>
    </xf>
    <xf numFmtId="49" fontId="22" fillId="0" borderId="0">
      <alignment horizontal="center"/>
    </xf>
    <xf numFmtId="0" fontId="13" fillId="0" borderId="0">
      <alignment horizontal="right"/>
    </xf>
    <xf numFmtId="0" fontId="22" fillId="0" borderId="0">
      <alignment horizontal="left"/>
    </xf>
    <xf numFmtId="0" fontId="9" fillId="0" borderId="0"/>
    <xf numFmtId="49" fontId="12" fillId="0" borderId="0">
      <alignment horizontal="left" vertical="center"/>
    </xf>
    <xf numFmtId="49" fontId="13" fillId="0" borderId="4">
      <alignment horizontal="left" vertical="center"/>
    </xf>
    <xf numFmtId="49" fontId="23" fillId="0" borderId="4" applyFill="0">
      <alignment horizontal="left" vertical="center"/>
    </xf>
    <xf numFmtId="49" fontId="13" fillId="0" borderId="4">
      <alignment horizontal="left"/>
    </xf>
    <xf numFmtId="174" fontId="12" fillId="0" borderId="0" applyNumberFormat="0">
      <alignment horizontal="right"/>
    </xf>
    <xf numFmtId="0" fontId="18" fillId="13" borderId="0">
      <alignment horizontal="centerContinuous" vertical="center" wrapText="1"/>
    </xf>
    <xf numFmtId="0" fontId="18" fillId="0" borderId="7">
      <alignment horizontal="left" vertical="center"/>
    </xf>
    <xf numFmtId="0" fontId="24" fillId="0" borderId="0">
      <alignment horizontal="left" vertical="top"/>
    </xf>
    <xf numFmtId="0" fontId="20" fillId="0" borderId="0">
      <alignment horizontal="left"/>
    </xf>
    <xf numFmtId="0" fontId="11" fillId="0" borderId="0">
      <alignment horizontal="left"/>
    </xf>
    <xf numFmtId="0" fontId="14" fillId="0" borderId="0">
      <alignment horizontal="left"/>
    </xf>
    <xf numFmtId="0" fontId="24" fillId="0" borderId="0">
      <alignment horizontal="left" vertical="top"/>
    </xf>
    <xf numFmtId="0" fontId="11" fillId="0" borderId="0">
      <alignment horizontal="left"/>
    </xf>
    <xf numFmtId="0" fontId="14" fillId="0" borderId="0">
      <alignment horizontal="left"/>
    </xf>
    <xf numFmtId="166" fontId="5" fillId="0" borderId="0" applyFont="0" applyFill="0" applyBorder="0" applyAlignment="0" applyProtection="0"/>
    <xf numFmtId="166" fontId="4" fillId="0" borderId="0" applyFont="0" applyFill="0" applyBorder="0" applyAlignment="0" applyProtection="0"/>
    <xf numFmtId="49" fontId="12" fillId="0" borderId="4">
      <alignment horizontal="left"/>
    </xf>
    <xf numFmtId="0" fontId="18" fillId="0" borderId="5">
      <alignment horizontal="left"/>
    </xf>
    <xf numFmtId="0" fontId="20" fillId="0" borderId="0">
      <alignment horizontal="left" vertical="center"/>
    </xf>
    <xf numFmtId="49" fontId="22" fillId="0" borderId="4">
      <alignment horizontal="left"/>
    </xf>
    <xf numFmtId="0" fontId="9" fillId="0" borderId="0"/>
    <xf numFmtId="0" fontId="25" fillId="0" borderId="0" applyNumberFormat="0" applyFill="0" applyBorder="0" applyAlignment="0" applyProtection="0"/>
    <xf numFmtId="9" fontId="32" fillId="0" borderId="0">
      <alignment horizontal="left"/>
    </xf>
    <xf numFmtId="0" fontId="35" fillId="0" borderId="0"/>
    <xf numFmtId="0" fontId="45" fillId="0" borderId="0"/>
    <xf numFmtId="0" fontId="145" fillId="39" borderId="0" applyNumberFormat="0" applyProtection="0">
      <alignment horizontal="left" wrapText="1" indent="4"/>
    </xf>
    <xf numFmtId="0" fontId="146" fillId="39" borderId="0" applyNumberFormat="0" applyProtection="0">
      <alignment horizontal="left" wrapText="1" indent="4"/>
    </xf>
    <xf numFmtId="0" fontId="147" fillId="39" borderId="0" applyNumberFormat="0" applyBorder="0" applyProtection="0">
      <alignment horizontal="left" indent="1"/>
    </xf>
    <xf numFmtId="0" fontId="146" fillId="0" borderId="0" applyFill="0" applyBorder="0">
      <alignment wrapText="1"/>
    </xf>
    <xf numFmtId="0" fontId="7" fillId="0" borderId="0"/>
    <xf numFmtId="0" fontId="5" fillId="17" borderId="27"/>
    <xf numFmtId="0" fontId="5" fillId="40" borderId="26"/>
    <xf numFmtId="0" fontId="5" fillId="17" borderId="0"/>
    <xf numFmtId="0" fontId="7" fillId="41" borderId="0" applyNumberFormat="0" applyBorder="0" applyProtection="0"/>
    <xf numFmtId="0" fontId="1" fillId="0" borderId="0" applyNumberFormat="0" applyFill="0" applyBorder="0" applyAlignment="0" applyProtection="0"/>
    <xf numFmtId="0" fontId="5" fillId="0" borderId="6" applyNumberFormat="0" applyFont="0" applyFill="0" applyAlignment="0"/>
    <xf numFmtId="0" fontId="5" fillId="0" borderId="28" applyNumberFormat="0" applyFont="0" applyFill="0" applyAlignment="0"/>
    <xf numFmtId="0" fontId="5" fillId="0" borderId="29" applyNumberFormat="0" applyFont="0" applyFill="0"/>
    <xf numFmtId="0" fontId="5" fillId="0" borderId="30" applyNumberFormat="0" applyFont="0" applyFill="0" applyAlignment="0"/>
    <xf numFmtId="14" fontId="5" fillId="0" borderId="0" applyFont="0" applyFill="0" applyBorder="0" applyAlignment="0"/>
    <xf numFmtId="6" fontId="5" fillId="2" borderId="0" applyFont="0" applyBorder="0" applyAlignment="0"/>
    <xf numFmtId="5" fontId="5" fillId="0" borderId="0" applyFont="0" applyFill="0" applyBorder="0" applyAlignment="0" applyProtection="0"/>
  </cellStyleXfs>
  <cellXfs count="763">
    <xf numFmtId="0" fontId="0" fillId="0" borderId="0" xfId="0"/>
    <xf numFmtId="0" fontId="0" fillId="0" borderId="0" xfId="0" applyFill="1"/>
    <xf numFmtId="0" fontId="0" fillId="0" borderId="0" xfId="0" applyFont="1" applyFill="1" applyBorder="1" applyAlignment="1">
      <alignment horizontal="center" vertical="center"/>
    </xf>
    <xf numFmtId="0" fontId="0" fillId="0" borderId="0" xfId="0" applyFont="1"/>
    <xf numFmtId="0" fontId="0" fillId="0" borderId="0" xfId="0" applyFont="1" applyFill="1" applyBorder="1" applyAlignment="1">
      <alignment vertical="center"/>
    </xf>
    <xf numFmtId="0" fontId="0" fillId="0" borderId="0" xfId="0" applyFont="1" applyFill="1"/>
    <xf numFmtId="0" fontId="1" fillId="0" borderId="0" xfId="0" applyFont="1" applyFill="1" applyAlignment="1">
      <alignment vertical="center"/>
    </xf>
    <xf numFmtId="2" fontId="0" fillId="0" borderId="0" xfId="0" applyNumberFormat="1" applyFont="1" applyFill="1" applyBorder="1" applyAlignment="1">
      <alignment horizontal="center" vertical="center"/>
    </xf>
    <xf numFmtId="0" fontId="3" fillId="0" borderId="0" xfId="0" applyFont="1" applyFill="1"/>
    <xf numFmtId="0" fontId="1"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center"/>
    </xf>
    <xf numFmtId="0" fontId="40" fillId="0" borderId="0" xfId="0" applyFont="1" applyFill="1" applyBorder="1" applyAlignment="1">
      <alignment horizontal="center" vertical="center"/>
    </xf>
    <xf numFmtId="11" fontId="0" fillId="0" borderId="0" xfId="0" applyNumberFormat="1"/>
    <xf numFmtId="0" fontId="3" fillId="0" borderId="0" xfId="0" applyFont="1" applyAlignment="1">
      <alignment horizontal="center"/>
    </xf>
    <xf numFmtId="0" fontId="6" fillId="0" borderId="0" xfId="0" applyFont="1" applyFill="1" applyAlignment="1">
      <alignment vertical="center"/>
    </xf>
    <xf numFmtId="0" fontId="42" fillId="0" borderId="0" xfId="0" applyFont="1"/>
    <xf numFmtId="0" fontId="42" fillId="0" borderId="0" xfId="0" applyFont="1" applyAlignment="1">
      <alignment horizontal="left"/>
    </xf>
    <xf numFmtId="0" fontId="0" fillId="0" borderId="0" xfId="0" applyFill="1" applyAlignment="1">
      <alignment horizontal="center" vertical="center"/>
    </xf>
    <xf numFmtId="0" fontId="27" fillId="0" borderId="0" xfId="0" applyFont="1" applyFill="1"/>
    <xf numFmtId="2" fontId="0" fillId="0" borderId="0" xfId="0" applyNumberFormat="1"/>
    <xf numFmtId="0" fontId="29" fillId="23" borderId="0" xfId="0" applyFont="1" applyFill="1" applyAlignment="1">
      <alignment horizontal="left" vertical="center"/>
    </xf>
    <xf numFmtId="0" fontId="53" fillId="23" borderId="0" xfId="0" applyFont="1" applyFill="1" applyAlignment="1">
      <alignment vertical="center"/>
    </xf>
    <xf numFmtId="0" fontId="54" fillId="23" borderId="0" xfId="0" applyFont="1" applyFill="1" applyAlignment="1">
      <alignment vertical="center"/>
    </xf>
    <xf numFmtId="0" fontId="61" fillId="19" borderId="0" xfId="0" applyFont="1" applyFill="1" applyAlignment="1">
      <alignment horizontal="right" vertical="center"/>
    </xf>
    <xf numFmtId="0" fontId="61" fillId="19" borderId="0" xfId="0" applyFont="1" applyFill="1" applyAlignment="1">
      <alignment horizontal="left" vertical="center"/>
    </xf>
    <xf numFmtId="0" fontId="61" fillId="19" borderId="0" xfId="0" applyFont="1" applyFill="1" applyAlignment="1">
      <alignment horizontal="center"/>
    </xf>
    <xf numFmtId="0" fontId="61" fillId="19" borderId="0" xfId="0" applyFont="1" applyFill="1"/>
    <xf numFmtId="0" fontId="61" fillId="0" borderId="9" xfId="0" applyFont="1" applyFill="1" applyBorder="1" applyAlignment="1">
      <alignment horizontal="center" vertical="center"/>
    </xf>
    <xf numFmtId="0" fontId="57" fillId="19" borderId="0" xfId="0" applyFont="1" applyFill="1" applyAlignment="1">
      <alignment horizontal="left" vertical="center"/>
    </xf>
    <xf numFmtId="168" fontId="61" fillId="0" borderId="9" xfId="0" applyNumberFormat="1" applyFont="1" applyFill="1" applyBorder="1" applyAlignment="1">
      <alignment horizontal="center" vertical="center"/>
    </xf>
    <xf numFmtId="9" fontId="61" fillId="9" borderId="0" xfId="1" applyFont="1" applyFill="1" applyBorder="1" applyAlignment="1">
      <alignment horizontal="center" vertical="center"/>
    </xf>
    <xf numFmtId="0" fontId="61" fillId="9" borderId="0" xfId="0" applyFont="1" applyFill="1" applyBorder="1" applyAlignment="1">
      <alignment horizontal="center" vertical="center"/>
    </xf>
    <xf numFmtId="0" fontId="71" fillId="19" borderId="0" xfId="0" applyFont="1" applyFill="1" applyBorder="1" applyAlignment="1">
      <alignment horizontal="center" vertical="center"/>
    </xf>
    <xf numFmtId="11" fontId="3" fillId="0" borderId="0" xfId="0" applyNumberFormat="1" applyFont="1" applyAlignment="1">
      <alignment horizontal="center" vertical="center"/>
    </xf>
    <xf numFmtId="0" fontId="61" fillId="9" borderId="0" xfId="0" applyFont="1" applyFill="1" applyAlignment="1">
      <alignment horizontal="left" vertical="center"/>
    </xf>
    <xf numFmtId="0" fontId="57" fillId="9" borderId="0" xfId="0" applyFont="1" applyFill="1" applyAlignment="1">
      <alignment horizontal="left" vertical="center"/>
    </xf>
    <xf numFmtId="0" fontId="60" fillId="9" borderId="0" xfId="78" applyFont="1" applyFill="1" applyAlignment="1">
      <alignment horizontal="center" vertical="center"/>
    </xf>
    <xf numFmtId="0" fontId="61" fillId="9" borderId="0" xfId="0" applyFont="1" applyFill="1" applyAlignment="1">
      <alignment horizontal="center"/>
    </xf>
    <xf numFmtId="0" fontId="70" fillId="19" borderId="0" xfId="0" applyFont="1" applyFill="1"/>
    <xf numFmtId="168" fontId="72" fillId="19" borderId="0" xfId="0" applyNumberFormat="1" applyFont="1" applyFill="1" applyBorder="1" applyAlignment="1">
      <alignment horizontal="center" vertical="center"/>
    </xf>
    <xf numFmtId="0" fontId="0" fillId="9" borderId="0" xfId="0" applyFill="1" applyAlignment="1">
      <alignment vertical="center"/>
    </xf>
    <xf numFmtId="0" fontId="0" fillId="0" borderId="0" xfId="0" applyFill="1" applyAlignment="1">
      <alignment vertical="center"/>
    </xf>
    <xf numFmtId="0" fontId="61" fillId="19" borderId="0" xfId="0" applyFont="1" applyFill="1" applyBorder="1" applyAlignment="1">
      <alignment horizontal="center"/>
    </xf>
    <xf numFmtId="0" fontId="62" fillId="0" borderId="8" xfId="0" applyFont="1" applyFill="1" applyBorder="1" applyAlignment="1">
      <alignment horizontal="center" vertical="center"/>
    </xf>
    <xf numFmtId="0" fontId="61" fillId="0" borderId="0" xfId="0" applyFont="1" applyFill="1" applyBorder="1" applyAlignment="1">
      <alignment horizontal="center" vertical="center"/>
    </xf>
    <xf numFmtId="0" fontId="61" fillId="9" borderId="0" xfId="0" applyFont="1" applyFill="1" applyAlignment="1">
      <alignment horizontal="center" vertical="center"/>
    </xf>
    <xf numFmtId="2" fontId="0" fillId="0" borderId="0" xfId="0" applyNumberFormat="1" applyFont="1" applyFill="1" applyAlignment="1">
      <alignment vertical="center"/>
    </xf>
    <xf numFmtId="2" fontId="0" fillId="0" borderId="0" xfId="0" applyNumberFormat="1" applyFont="1" applyFill="1" applyAlignment="1">
      <alignment horizontal="center" vertical="center"/>
    </xf>
    <xf numFmtId="2" fontId="3" fillId="0" borderId="0" xfId="0" applyNumberFormat="1" applyFont="1" applyFill="1" applyAlignment="1">
      <alignment horizontal="center" vertical="center"/>
    </xf>
    <xf numFmtId="1" fontId="0" fillId="0" borderId="0" xfId="0" applyNumberFormat="1" applyFont="1" applyFill="1" applyAlignment="1">
      <alignment horizontal="center" vertical="center"/>
    </xf>
    <xf numFmtId="0" fontId="3" fillId="0" borderId="0" xfId="0" applyFont="1" applyFill="1" applyAlignment="1">
      <alignment vertical="center"/>
    </xf>
    <xf numFmtId="0" fontId="77" fillId="23" borderId="0" xfId="0" applyFont="1" applyFill="1" applyAlignment="1">
      <alignment vertical="center"/>
    </xf>
    <xf numFmtId="0" fontId="61" fillId="0" borderId="11" xfId="0" applyFont="1" applyFill="1" applyBorder="1" applyAlignment="1">
      <alignment horizontal="center" vertical="center"/>
    </xf>
    <xf numFmtId="0" fontId="61" fillId="19" borderId="0" xfId="0" applyFont="1" applyFill="1" applyAlignment="1">
      <alignment horizontal="left"/>
    </xf>
    <xf numFmtId="0" fontId="61" fillId="19" borderId="0" xfId="0" applyFont="1" applyFill="1" applyBorder="1" applyAlignment="1">
      <alignment vertical="center"/>
    </xf>
    <xf numFmtId="0" fontId="61" fillId="19" borderId="0" xfId="0" applyFont="1" applyFill="1" applyAlignment="1">
      <alignment vertical="center"/>
    </xf>
    <xf numFmtId="0" fontId="0" fillId="19" borderId="0" xfId="0" applyFill="1" applyAlignment="1">
      <alignment vertical="center"/>
    </xf>
    <xf numFmtId="0" fontId="59" fillId="19" borderId="0" xfId="0" applyFont="1" applyFill="1" applyAlignment="1">
      <alignment vertical="center"/>
    </xf>
    <xf numFmtId="0" fontId="61" fillId="19" borderId="0" xfId="0" applyFont="1" applyFill="1" applyBorder="1" applyAlignment="1">
      <alignment horizontal="center" vertical="center"/>
    </xf>
    <xf numFmtId="0" fontId="61" fillId="19" borderId="0" xfId="0" applyFont="1" applyFill="1" applyAlignment="1">
      <alignment horizontal="center" vertical="center"/>
    </xf>
    <xf numFmtId="0" fontId="61" fillId="9" borderId="0" xfId="0" applyFont="1" applyFill="1" applyAlignment="1">
      <alignment horizontal="left"/>
    </xf>
    <xf numFmtId="0" fontId="7" fillId="0" borderId="0" xfId="0" applyFont="1" applyFill="1" applyAlignment="1">
      <alignment vertical="center"/>
    </xf>
    <xf numFmtId="0" fontId="65" fillId="9" borderId="0" xfId="0" applyFont="1" applyFill="1" applyAlignment="1">
      <alignment horizontal="center" vertical="center"/>
    </xf>
    <xf numFmtId="0" fontId="0" fillId="19" borderId="0" xfId="0" applyFill="1" applyAlignment="1">
      <alignment horizontal="center" vertical="center"/>
    </xf>
    <xf numFmtId="11" fontId="3" fillId="0" borderId="0" xfId="80" applyNumberFormat="1" applyFont="1" applyAlignment="1">
      <alignment horizontal="left" vertical="center"/>
    </xf>
    <xf numFmtId="0" fontId="27" fillId="0" borderId="0" xfId="0" applyFont="1" applyFill="1" applyAlignment="1">
      <alignment vertical="center"/>
    </xf>
    <xf numFmtId="11" fontId="3" fillId="0" borderId="0" xfId="80" applyNumberFormat="1" applyFont="1" applyAlignment="1">
      <alignment horizontal="center" vertical="center"/>
    </xf>
    <xf numFmtId="0" fontId="31" fillId="0" borderId="0" xfId="80" applyFont="1" applyFill="1" applyAlignment="1">
      <alignment horizontal="center" vertical="center"/>
    </xf>
    <xf numFmtId="0" fontId="3" fillId="0" borderId="0" xfId="0" applyFont="1" applyFill="1" applyBorder="1" applyAlignment="1">
      <alignment horizontal="center" vertical="center"/>
    </xf>
    <xf numFmtId="0" fontId="39" fillId="0" borderId="0" xfId="0" applyFont="1" applyAlignment="1">
      <alignment vertical="center"/>
    </xf>
    <xf numFmtId="0" fontId="39" fillId="0" borderId="0" xfId="0" applyFont="1" applyFill="1" applyAlignment="1">
      <alignment vertical="center"/>
    </xf>
    <xf numFmtId="0" fontId="39" fillId="0" borderId="0" xfId="0" applyFont="1" applyAlignment="1">
      <alignment horizontal="center" vertical="center"/>
    </xf>
    <xf numFmtId="0" fontId="39" fillId="19" borderId="0" xfId="0" applyFont="1" applyFill="1"/>
    <xf numFmtId="0" fontId="0" fillId="0" borderId="0" xfId="0" applyFill="1" applyBorder="1" applyAlignment="1">
      <alignment vertical="center"/>
    </xf>
    <xf numFmtId="0" fontId="61" fillId="0" borderId="0" xfId="0" applyFont="1" applyFill="1" applyAlignment="1">
      <alignment horizontal="left" vertical="center"/>
    </xf>
    <xf numFmtId="0" fontId="59" fillId="0" borderId="0" xfId="0" applyFont="1" applyFill="1" applyBorder="1" applyAlignment="1">
      <alignment vertical="center"/>
    </xf>
    <xf numFmtId="170" fontId="0" fillId="0" borderId="0" xfId="0" applyNumberFormat="1" applyFont="1" applyFill="1" applyAlignment="1">
      <alignment horizontal="center" vertical="center"/>
    </xf>
    <xf numFmtId="0" fontId="39" fillId="9" borderId="0" xfId="0" applyFont="1" applyFill="1"/>
    <xf numFmtId="0" fontId="78" fillId="19" borderId="0" xfId="0" applyFont="1" applyFill="1" applyAlignment="1">
      <alignment horizontal="center" vertical="center"/>
    </xf>
    <xf numFmtId="0" fontId="78" fillId="19" borderId="0" xfId="0" applyFont="1" applyFill="1" applyAlignment="1">
      <alignment horizontal="center" vertical="center"/>
    </xf>
    <xf numFmtId="0" fontId="61" fillId="19" borderId="0" xfId="0" applyFont="1" applyFill="1" applyBorder="1" applyAlignment="1">
      <alignment horizontal="right" vertical="center"/>
    </xf>
    <xf numFmtId="0" fontId="57" fillId="19" borderId="0" xfId="0" applyFont="1" applyFill="1" applyBorder="1"/>
    <xf numFmtId="9" fontId="95" fillId="19" borderId="0" xfId="0" applyNumberFormat="1" applyFont="1" applyFill="1" applyBorder="1"/>
    <xf numFmtId="0" fontId="95" fillId="19" borderId="0" xfId="0" applyFont="1" applyFill="1" applyBorder="1"/>
    <xf numFmtId="0" fontId="39" fillId="0" borderId="0" xfId="0" applyFont="1" applyFill="1"/>
    <xf numFmtId="0" fontId="39" fillId="17" borderId="0" xfId="0" applyFont="1" applyFill="1"/>
    <xf numFmtId="0" fontId="62" fillId="19" borderId="0" xfId="0" applyFont="1" applyFill="1" applyBorder="1" applyAlignment="1">
      <alignment horizontal="center" vertical="center"/>
    </xf>
    <xf numFmtId="0" fontId="39" fillId="0" borderId="0" xfId="0" applyFont="1" applyFill="1" applyAlignment="1">
      <alignment horizontal="center"/>
    </xf>
    <xf numFmtId="0" fontId="78" fillId="19" borderId="0" xfId="78" applyFont="1" applyFill="1" applyAlignment="1">
      <alignment horizontal="center" vertical="center"/>
    </xf>
    <xf numFmtId="167" fontId="78" fillId="19" borderId="0" xfId="78" applyNumberFormat="1" applyFont="1" applyFill="1" applyAlignment="1">
      <alignment horizontal="center" vertical="center"/>
    </xf>
    <xf numFmtId="0" fontId="61" fillId="19" borderId="0" xfId="0" applyFont="1" applyFill="1" applyAlignment="1">
      <alignment horizontal="right" vertical="center" indent="1"/>
    </xf>
    <xf numFmtId="0" fontId="61" fillId="19" borderId="0" xfId="0" applyFont="1" applyFill="1" applyAlignment="1">
      <alignment horizontal="left" vertical="center" indent="1"/>
    </xf>
    <xf numFmtId="0" fontId="61" fillId="19" borderId="0" xfId="0" applyFont="1" applyFill="1" applyBorder="1" applyAlignment="1">
      <alignment horizontal="right" vertical="center" indent="1"/>
    </xf>
    <xf numFmtId="0" fontId="61" fillId="19" borderId="0" xfId="0" applyFont="1" applyFill="1" applyBorder="1" applyAlignment="1">
      <alignment horizontal="left" vertical="center" indent="1"/>
    </xf>
    <xf numFmtId="0" fontId="61" fillId="19" borderId="0" xfId="0" applyFont="1" applyFill="1" applyBorder="1"/>
    <xf numFmtId="0" fontId="61" fillId="19" borderId="0" xfId="0" applyFont="1" applyFill="1" applyBorder="1" applyAlignment="1">
      <alignment horizontal="left" vertical="center"/>
    </xf>
    <xf numFmtId="0" fontId="68" fillId="19" borderId="0" xfId="0" applyFont="1" applyFill="1" applyBorder="1" applyAlignment="1">
      <alignment horizontal="right" vertical="center"/>
    </xf>
    <xf numFmtId="0" fontId="39" fillId="17" borderId="0" xfId="0" applyFont="1" applyFill="1" applyBorder="1"/>
    <xf numFmtId="0" fontId="39" fillId="19" borderId="0" xfId="0" applyFont="1" applyFill="1" applyBorder="1"/>
    <xf numFmtId="0" fontId="78" fillId="0" borderId="0" xfId="0" applyFont="1" applyFill="1" applyAlignment="1">
      <alignment horizontal="center" vertical="center"/>
    </xf>
    <xf numFmtId="0" fontId="78" fillId="0" borderId="0" xfId="78" applyFont="1" applyFill="1" applyAlignment="1">
      <alignment horizontal="center" vertical="center"/>
    </xf>
    <xf numFmtId="0" fontId="57" fillId="0" borderId="0" xfId="0" applyFont="1" applyFill="1" applyAlignment="1">
      <alignment horizontal="left" vertical="center"/>
    </xf>
    <xf numFmtId="0" fontId="39" fillId="0" borderId="0" xfId="0" applyFont="1" applyFill="1" applyBorder="1" applyAlignment="1">
      <alignment horizontal="center"/>
    </xf>
    <xf numFmtId="0" fontId="57" fillId="0" borderId="12" xfId="0" applyFont="1" applyFill="1" applyBorder="1" applyAlignment="1">
      <alignment horizontal="center" vertical="center"/>
    </xf>
    <xf numFmtId="0" fontId="61" fillId="0" borderId="0" xfId="0" applyFont="1" applyFill="1" applyBorder="1" applyAlignment="1">
      <alignment horizontal="center"/>
    </xf>
    <xf numFmtId="9" fontId="39" fillId="0" borderId="0" xfId="1" applyFont="1" applyFill="1"/>
    <xf numFmtId="0" fontId="63" fillId="0" borderId="0" xfId="0" applyFont="1" applyFill="1" applyAlignment="1">
      <alignment vertical="center"/>
    </xf>
    <xf numFmtId="0" fontId="39" fillId="0" borderId="0" xfId="0" applyFont="1" applyFill="1" applyBorder="1"/>
    <xf numFmtId="10" fontId="39" fillId="0" borderId="0" xfId="1" applyNumberFormat="1" applyFont="1" applyFill="1"/>
    <xf numFmtId="179" fontId="39" fillId="0" borderId="0" xfId="0" applyNumberFormat="1" applyFont="1" applyFill="1"/>
    <xf numFmtId="0" fontId="90" fillId="0" borderId="0" xfId="0" applyFont="1" applyFill="1"/>
    <xf numFmtId="0" fontId="92" fillId="0" borderId="0" xfId="0" applyFont="1" applyFill="1" applyBorder="1" applyAlignment="1">
      <alignment horizontal="right" vertical="center"/>
    </xf>
    <xf numFmtId="2" fontId="39" fillId="0" borderId="0" xfId="0" applyNumberFormat="1" applyFont="1" applyFill="1" applyBorder="1"/>
    <xf numFmtId="0" fontId="39" fillId="0" borderId="12" xfId="0" applyFont="1" applyFill="1" applyBorder="1"/>
    <xf numFmtId="0" fontId="39" fillId="0" borderId="11" xfId="0" applyFont="1" applyFill="1" applyBorder="1"/>
    <xf numFmtId="0" fontId="39" fillId="0" borderId="15" xfId="0" applyFont="1" applyFill="1" applyBorder="1"/>
    <xf numFmtId="0" fontId="62" fillId="19" borderId="0" xfId="0" applyFont="1" applyFill="1" applyBorder="1" applyAlignment="1">
      <alignment horizontal="right" vertical="center" indent="1"/>
    </xf>
    <xf numFmtId="0" fontId="62" fillId="19" borderId="0" xfId="0" applyFont="1" applyFill="1" applyBorder="1" applyAlignment="1">
      <alignment horizontal="left" vertical="center" indent="1"/>
    </xf>
    <xf numFmtId="0" fontId="78" fillId="19" borderId="0" xfId="0" applyFont="1" applyFill="1" applyAlignment="1">
      <alignment horizontal="center" vertical="center"/>
    </xf>
    <xf numFmtId="0" fontId="38" fillId="0" borderId="0" xfId="0" applyFont="1" applyFill="1" applyAlignment="1"/>
    <xf numFmtId="168" fontId="61" fillId="19" borderId="0" xfId="0" applyNumberFormat="1" applyFont="1" applyFill="1" applyBorder="1" applyAlignment="1">
      <alignment horizontal="center" vertical="center"/>
    </xf>
    <xf numFmtId="9" fontId="86" fillId="19" borderId="0" xfId="0" applyNumberFormat="1" applyFont="1" applyFill="1" applyBorder="1"/>
    <xf numFmtId="0" fontId="86" fillId="19" borderId="0" xfId="0" applyFont="1" applyFill="1" applyBorder="1"/>
    <xf numFmtId="0" fontId="61" fillId="0" borderId="0" xfId="0" applyFont="1" applyFill="1"/>
    <xf numFmtId="0" fontId="61" fillId="0" borderId="0" xfId="0" applyFont="1" applyFill="1" applyAlignment="1">
      <alignment horizontal="center"/>
    </xf>
    <xf numFmtId="0" fontId="61" fillId="0" borderId="0" xfId="0" applyFont="1" applyFill="1" applyBorder="1"/>
    <xf numFmtId="0" fontId="67" fillId="0" borderId="0" xfId="0" applyFont="1" applyFill="1" applyAlignment="1">
      <alignment vertical="center"/>
    </xf>
    <xf numFmtId="0" fontId="63" fillId="0" borderId="0" xfId="0" applyFont="1" applyFill="1" applyBorder="1" applyAlignment="1">
      <alignment vertical="center"/>
    </xf>
    <xf numFmtId="0" fontId="67" fillId="0" borderId="0" xfId="0" applyFont="1" applyFill="1" applyBorder="1" applyAlignment="1">
      <alignment vertical="center"/>
    </xf>
    <xf numFmtId="0" fontId="57" fillId="0" borderId="0" xfId="0" applyFont="1" applyFill="1" applyBorder="1" applyAlignment="1">
      <alignment horizontal="left" vertical="center"/>
    </xf>
    <xf numFmtId="0" fontId="57" fillId="0" borderId="0" xfId="0" applyFont="1" applyFill="1" applyBorder="1" applyAlignment="1">
      <alignment horizontal="center" vertical="center"/>
    </xf>
    <xf numFmtId="9" fontId="61" fillId="0" borderId="0" xfId="1" applyFont="1" applyFill="1" applyBorder="1" applyAlignment="1">
      <alignment horizontal="center" vertical="center"/>
    </xf>
    <xf numFmtId="0" fontId="66" fillId="0" borderId="0" xfId="0" applyFont="1" applyFill="1" applyAlignment="1">
      <alignment horizontal="left" vertical="center"/>
    </xf>
    <xf numFmtId="0" fontId="64" fillId="0" borderId="0" xfId="0" applyFont="1" applyFill="1" applyBorder="1" applyAlignment="1">
      <alignment horizontal="center" vertical="center"/>
    </xf>
    <xf numFmtId="0" fontId="64" fillId="0" borderId="0" xfId="0" applyFont="1" applyFill="1" applyBorder="1"/>
    <xf numFmtId="0" fontId="66" fillId="0" borderId="0" xfId="0" applyFont="1" applyFill="1" applyBorder="1" applyAlignment="1">
      <alignment horizontal="left" vertical="center"/>
    </xf>
    <xf numFmtId="0" fontId="57" fillId="0" borderId="0" xfId="0" applyFont="1" applyFill="1" applyAlignment="1">
      <alignment horizontal="left"/>
    </xf>
    <xf numFmtId="0" fontId="61" fillId="0" borderId="0" xfId="0" applyFont="1" applyFill="1" applyBorder="1" applyAlignment="1">
      <alignment horizontal="left" vertical="center"/>
    </xf>
    <xf numFmtId="0" fontId="57" fillId="0" borderId="0" xfId="0" applyFont="1" applyFill="1" applyBorder="1" applyAlignment="1">
      <alignment horizontal="left"/>
    </xf>
    <xf numFmtId="3" fontId="96" fillId="0" borderId="9" xfId="0" applyNumberFormat="1" applyFont="1" applyFill="1" applyBorder="1" applyAlignment="1">
      <alignment horizontal="center" vertical="center"/>
    </xf>
    <xf numFmtId="0" fontId="62" fillId="19" borderId="0" xfId="0" applyFont="1" applyFill="1" applyBorder="1" applyAlignment="1">
      <alignment horizontal="right" vertical="center" wrapText="1" indent="1"/>
    </xf>
    <xf numFmtId="168" fontId="96" fillId="19" borderId="0" xfId="0" applyNumberFormat="1" applyFont="1" applyFill="1" applyBorder="1" applyAlignment="1">
      <alignment horizontal="center" vertical="center"/>
    </xf>
    <xf numFmtId="4" fontId="61" fillId="19" borderId="0" xfId="0" applyNumberFormat="1" applyFont="1" applyFill="1" applyBorder="1" applyAlignment="1">
      <alignment horizontal="left" vertical="center"/>
    </xf>
    <xf numFmtId="169" fontId="70" fillId="0" borderId="9" xfId="1" applyNumberFormat="1" applyFont="1" applyFill="1" applyBorder="1" applyAlignment="1">
      <alignment horizontal="center" vertical="center"/>
    </xf>
    <xf numFmtId="4" fontId="70" fillId="0" borderId="9" xfId="0" applyNumberFormat="1" applyFont="1" applyFill="1" applyBorder="1" applyAlignment="1">
      <alignment horizontal="center" vertical="center"/>
    </xf>
    <xf numFmtId="180" fontId="70" fillId="0" borderId="9" xfId="0" applyNumberFormat="1" applyFont="1" applyFill="1" applyBorder="1" applyAlignment="1">
      <alignment horizontal="center" vertical="center"/>
    </xf>
    <xf numFmtId="4" fontId="41" fillId="0" borderId="9" xfId="1" applyNumberFormat="1" applyFont="1" applyFill="1" applyBorder="1" applyAlignment="1">
      <alignment horizontal="center" vertical="center"/>
    </xf>
    <xf numFmtId="169" fontId="41" fillId="0" borderId="9" xfId="1" applyNumberFormat="1" applyFont="1" applyFill="1" applyBorder="1" applyAlignment="1">
      <alignment horizontal="center" vertical="center"/>
    </xf>
    <xf numFmtId="0" fontId="66" fillId="0" borderId="0" xfId="0" applyFont="1" applyFill="1" applyAlignment="1">
      <alignment horizontal="center" vertical="center"/>
    </xf>
    <xf numFmtId="168" fontId="39" fillId="0" borderId="0" xfId="0" applyNumberFormat="1" applyFont="1" applyFill="1" applyBorder="1"/>
    <xf numFmtId="0" fontId="39" fillId="19" borderId="0" xfId="0" applyFont="1" applyFill="1" applyBorder="1" applyAlignment="1">
      <alignment horizontal="center"/>
    </xf>
    <xf numFmtId="0" fontId="65" fillId="19" borderId="0" xfId="0" applyFont="1" applyFill="1" applyBorder="1" applyAlignment="1">
      <alignment horizontal="right" vertical="center"/>
    </xf>
    <xf numFmtId="0" fontId="93" fillId="19" borderId="0" xfId="0" applyFont="1" applyFill="1" applyBorder="1" applyAlignment="1">
      <alignment horizontal="left" vertical="center"/>
    </xf>
    <xf numFmtId="9" fontId="30" fillId="22" borderId="0" xfId="1" applyFont="1" applyFill="1" applyBorder="1" applyAlignment="1">
      <alignment horizontal="center" vertical="center"/>
    </xf>
    <xf numFmtId="168" fontId="30" fillId="24" borderId="0" xfId="1" applyNumberFormat="1" applyFont="1" applyFill="1" applyBorder="1" applyAlignment="1">
      <alignment horizontal="center" vertical="center"/>
    </xf>
    <xf numFmtId="0" fontId="61" fillId="0" borderId="0" xfId="0" applyFont="1" applyFill="1" applyAlignment="1">
      <alignment horizontal="left"/>
    </xf>
    <xf numFmtId="0" fontId="70" fillId="0" borderId="0" xfId="0" applyFont="1" applyFill="1" applyAlignment="1">
      <alignment horizontal="center"/>
    </xf>
    <xf numFmtId="0" fontId="101" fillId="9" borderId="0" xfId="0" applyFont="1" applyFill="1" applyBorder="1" applyAlignment="1">
      <alignment vertical="center"/>
    </xf>
    <xf numFmtId="0" fontId="101" fillId="0" borderId="0" xfId="0" applyFont="1" applyFill="1" applyBorder="1" applyAlignment="1">
      <alignment vertical="center"/>
    </xf>
    <xf numFmtId="0" fontId="102" fillId="9" borderId="0" xfId="0" applyFont="1" applyFill="1" applyBorder="1" applyAlignment="1">
      <alignment vertical="center"/>
    </xf>
    <xf numFmtId="0" fontId="102" fillId="0" borderId="0" xfId="0" applyFont="1" applyFill="1" applyBorder="1" applyAlignment="1">
      <alignment vertical="center"/>
    </xf>
    <xf numFmtId="0" fontId="103" fillId="0" borderId="0" xfId="0" applyFont="1" applyFill="1" applyBorder="1" applyAlignment="1">
      <alignment horizontal="center" vertical="center"/>
    </xf>
    <xf numFmtId="0" fontId="101" fillId="0" borderId="0" xfId="0" applyFont="1" applyFill="1" applyBorder="1" applyAlignment="1">
      <alignment horizontal="center" vertical="center"/>
    </xf>
    <xf numFmtId="0" fontId="104" fillId="0" borderId="0" xfId="0" applyFont="1" applyFill="1" applyBorder="1" applyAlignment="1">
      <alignment horizontal="center" vertical="center"/>
    </xf>
    <xf numFmtId="167" fontId="101" fillId="15" borderId="0" xfId="0" applyNumberFormat="1" applyFont="1" applyFill="1" applyBorder="1" applyAlignment="1">
      <alignment horizontal="center" vertical="center"/>
    </xf>
    <xf numFmtId="0" fontId="106" fillId="0" borderId="0" xfId="0" applyFont="1" applyFill="1" applyBorder="1" applyAlignment="1">
      <alignment horizontal="center" vertical="center"/>
    </xf>
    <xf numFmtId="0" fontId="107" fillId="0" borderId="0" xfId="0" applyFont="1" applyFill="1" applyBorder="1" applyAlignment="1">
      <alignment horizontal="center" vertical="center"/>
    </xf>
    <xf numFmtId="0" fontId="70" fillId="0" borderId="0" xfId="0" applyFont="1" applyFill="1" applyBorder="1" applyAlignment="1">
      <alignment vertical="center"/>
    </xf>
    <xf numFmtId="0" fontId="101" fillId="0" borderId="0" xfId="0" applyFont="1" applyFill="1" applyBorder="1" applyAlignment="1">
      <alignment horizontal="left" vertical="center"/>
    </xf>
    <xf numFmtId="182" fontId="61" fillId="19" borderId="0" xfId="0" applyNumberFormat="1" applyFont="1" applyFill="1" applyBorder="1" applyAlignment="1">
      <alignment horizontal="center" vertical="center"/>
    </xf>
    <xf numFmtId="180" fontId="110" fillId="19" borderId="0" xfId="0" applyNumberFormat="1" applyFont="1" applyFill="1" applyBorder="1" applyAlignment="1">
      <alignment horizontal="center" vertical="center"/>
    </xf>
    <xf numFmtId="167" fontId="101" fillId="25" borderId="0" xfId="0" applyNumberFormat="1" applyFont="1" applyFill="1" applyBorder="1" applyAlignment="1">
      <alignment horizontal="center" vertical="center"/>
    </xf>
    <xf numFmtId="180" fontId="106" fillId="19" borderId="0" xfId="0" applyNumberFormat="1" applyFont="1" applyFill="1" applyBorder="1" applyAlignment="1">
      <alignment horizontal="center" vertical="center"/>
    </xf>
    <xf numFmtId="1" fontId="99" fillId="17" borderId="0" xfId="0" applyNumberFormat="1" applyFont="1" applyFill="1" applyAlignment="1">
      <alignment horizontal="center" vertical="center"/>
    </xf>
    <xf numFmtId="1" fontId="0" fillId="17" borderId="0" xfId="0" applyNumberFormat="1" applyFont="1" applyFill="1" applyBorder="1" applyAlignment="1">
      <alignment horizontal="center" vertical="center"/>
    </xf>
    <xf numFmtId="0" fontId="0" fillId="17" borderId="0" xfId="0" applyFont="1" applyFill="1" applyAlignment="1">
      <alignment vertical="center"/>
    </xf>
    <xf numFmtId="0" fontId="0" fillId="17" borderId="0" xfId="0" applyFont="1" applyFill="1" applyAlignment="1">
      <alignment horizontal="center" vertical="center"/>
    </xf>
    <xf numFmtId="182" fontId="61" fillId="16" borderId="0" xfId="0" applyNumberFormat="1" applyFont="1" applyFill="1" applyBorder="1" applyAlignment="1">
      <alignment horizontal="center" vertical="center"/>
    </xf>
    <xf numFmtId="0" fontId="39" fillId="19" borderId="0" xfId="0" applyFont="1" applyFill="1" applyBorder="1" applyAlignment="1">
      <alignment horizontal="right" vertical="center" indent="1"/>
    </xf>
    <xf numFmtId="0" fontId="1" fillId="0" borderId="0" xfId="0" applyFont="1" applyFill="1" applyBorder="1" applyAlignment="1">
      <alignment horizontal="center" vertical="center"/>
    </xf>
    <xf numFmtId="0" fontId="92" fillId="0" borderId="0" xfId="0" applyFont="1" applyFill="1" applyAlignment="1">
      <alignment horizontal="right" vertical="center" indent="1"/>
    </xf>
    <xf numFmtId="0" fontId="92" fillId="0" borderId="0" xfId="0" applyFont="1" applyFill="1" applyBorder="1" applyAlignment="1">
      <alignment horizontal="right" vertical="center" indent="1"/>
    </xf>
    <xf numFmtId="0" fontId="1" fillId="0" borderId="0" xfId="0" applyFont="1" applyFill="1" applyAlignment="1">
      <alignment horizontal="center" vertical="center"/>
    </xf>
    <xf numFmtId="11" fontId="1" fillId="0" borderId="0" xfId="0" applyNumberFormat="1" applyFont="1" applyFill="1" applyBorder="1" applyAlignment="1">
      <alignment horizontal="right" vertical="center"/>
    </xf>
    <xf numFmtId="0" fontId="1" fillId="0" borderId="0" xfId="0" applyFont="1" applyFill="1" applyBorder="1" applyAlignment="1">
      <alignment horizontal="left" vertical="center"/>
    </xf>
    <xf numFmtId="11" fontId="1" fillId="0" borderId="0" xfId="0" applyNumberFormat="1" applyFont="1" applyFill="1" applyAlignment="1">
      <alignment horizontal="center" vertical="center" wrapText="1"/>
    </xf>
    <xf numFmtId="0" fontId="0" fillId="0" borderId="0" xfId="0" applyFont="1" applyFill="1" applyAlignment="1">
      <alignment vertical="center" wrapText="1"/>
    </xf>
    <xf numFmtId="0" fontId="48" fillId="0" borderId="0" xfId="0" applyFont="1" applyFill="1" applyAlignment="1">
      <alignment horizontal="center" vertical="center"/>
    </xf>
    <xf numFmtId="0" fontId="73" fillId="0" borderId="0" xfId="0" applyFont="1" applyFill="1" applyBorder="1" applyAlignment="1">
      <alignment horizontal="center" vertical="center"/>
    </xf>
    <xf numFmtId="0" fontId="33" fillId="0" borderId="0" xfId="0" applyFont="1" applyFill="1" applyAlignment="1">
      <alignment horizontal="center" vertical="center"/>
    </xf>
    <xf numFmtId="0" fontId="33" fillId="0" borderId="0" xfId="0" applyFont="1" applyFill="1" applyAlignment="1">
      <alignment vertical="center"/>
    </xf>
    <xf numFmtId="0" fontId="44" fillId="0" borderId="0" xfId="0" applyFont="1" applyFill="1" applyBorder="1" applyAlignment="1">
      <alignment horizontal="right" vertical="center"/>
    </xf>
    <xf numFmtId="167" fontId="0" fillId="0" borderId="0" xfId="0" applyNumberFormat="1" applyFont="1" applyFill="1" applyAlignment="1">
      <alignment horizontal="center" vertical="center"/>
    </xf>
    <xf numFmtId="0" fontId="34" fillId="0" borderId="0" xfId="0" applyFont="1" applyFill="1" applyAlignment="1">
      <alignment vertical="center"/>
    </xf>
    <xf numFmtId="0" fontId="0" fillId="0" borderId="0" xfId="0" applyNumberFormat="1" applyFont="1" applyFill="1" applyAlignment="1">
      <alignment horizontal="center" vertical="center" wrapText="1"/>
    </xf>
    <xf numFmtId="181" fontId="0" fillId="0" borderId="0" xfId="0" applyNumberFormat="1" applyFont="1" applyFill="1" applyAlignment="1">
      <alignment horizontal="center" vertical="center"/>
    </xf>
    <xf numFmtId="2" fontId="26" fillId="0" borderId="0" xfId="0" applyNumberFormat="1" applyFont="1" applyFill="1" applyAlignment="1">
      <alignment horizontal="center" vertical="center"/>
    </xf>
    <xf numFmtId="11" fontId="0" fillId="0" borderId="0" xfId="0" applyNumberFormat="1" applyFont="1" applyFill="1" applyAlignment="1">
      <alignment vertical="center"/>
    </xf>
    <xf numFmtId="170" fontId="0" fillId="0" borderId="0" xfId="1" applyNumberFormat="1" applyFont="1" applyFill="1" applyBorder="1" applyAlignment="1">
      <alignment horizontal="center" vertical="center"/>
    </xf>
    <xf numFmtId="0" fontId="6" fillId="28" borderId="0" xfId="0" applyFont="1" applyFill="1" applyAlignment="1">
      <alignment horizontal="center" vertical="center"/>
    </xf>
    <xf numFmtId="0" fontId="6" fillId="28" borderId="0" xfId="0" applyFont="1" applyFill="1" applyBorder="1" applyAlignment="1">
      <alignment horizontal="center" vertical="center"/>
    </xf>
    <xf numFmtId="0" fontId="6" fillId="28" borderId="0" xfId="0" applyFont="1" applyFill="1" applyBorder="1" applyAlignment="1">
      <alignment horizontal="left" vertical="center"/>
    </xf>
    <xf numFmtId="0" fontId="6" fillId="29" borderId="0" xfId="0" applyFont="1" applyFill="1" applyAlignment="1">
      <alignment vertical="center"/>
    </xf>
    <xf numFmtId="0" fontId="6" fillId="29" borderId="0" xfId="0" applyFont="1" applyFill="1" applyAlignment="1">
      <alignment horizontal="center" vertical="center"/>
    </xf>
    <xf numFmtId="0" fontId="44" fillId="17" borderId="0" xfId="0" applyFont="1" applyFill="1" applyBorder="1" applyAlignment="1">
      <alignment horizontal="left" vertical="center" indent="1"/>
    </xf>
    <xf numFmtId="0" fontId="44" fillId="17" borderId="0" xfId="0" applyFont="1" applyFill="1" applyBorder="1" applyAlignment="1">
      <alignment horizontal="center" vertical="center"/>
    </xf>
    <xf numFmtId="1" fontId="0" fillId="17" borderId="0" xfId="0" applyNumberFormat="1" applyFont="1" applyFill="1" applyAlignment="1">
      <alignment horizontal="center" vertical="center"/>
    </xf>
    <xf numFmtId="2" fontId="0" fillId="17" borderId="0" xfId="0" applyNumberFormat="1" applyFont="1" applyFill="1" applyAlignment="1">
      <alignment horizontal="center" vertical="center"/>
    </xf>
    <xf numFmtId="180" fontId="3" fillId="17" borderId="0" xfId="0" applyNumberFormat="1" applyFont="1" applyFill="1" applyAlignment="1">
      <alignment vertical="center"/>
    </xf>
    <xf numFmtId="167" fontId="99" fillId="17" borderId="0" xfId="0" applyNumberFormat="1" applyFont="1" applyFill="1" applyAlignment="1">
      <alignment horizontal="center" vertical="center"/>
    </xf>
    <xf numFmtId="180" fontId="0" fillId="17" borderId="0" xfId="0" applyNumberFormat="1" applyFont="1" applyFill="1" applyAlignment="1">
      <alignment horizontal="center" vertical="center"/>
    </xf>
    <xf numFmtId="182" fontId="0" fillId="17" borderId="0" xfId="0" applyNumberFormat="1" applyFont="1" applyFill="1" applyAlignment="1">
      <alignment horizontal="center" vertical="center"/>
    </xf>
    <xf numFmtId="0" fontId="1" fillId="17" borderId="0" xfId="0" applyFont="1" applyFill="1" applyBorder="1" applyAlignment="1">
      <alignment vertical="center"/>
    </xf>
    <xf numFmtId="0" fontId="1" fillId="17" borderId="0" xfId="0" applyFont="1" applyFill="1" applyBorder="1" applyAlignment="1">
      <alignment horizontal="center" vertical="center"/>
    </xf>
    <xf numFmtId="0" fontId="1" fillId="17" borderId="0" xfId="0" applyFont="1" applyFill="1" applyAlignment="1">
      <alignment horizontal="center" vertical="center"/>
    </xf>
    <xf numFmtId="171" fontId="101" fillId="25" borderId="0" xfId="0" applyNumberFormat="1" applyFont="1" applyFill="1" applyBorder="1" applyAlignment="1">
      <alignment horizontal="center" vertical="center"/>
    </xf>
    <xf numFmtId="3" fontId="101" fillId="25" borderId="0" xfId="0" applyNumberFormat="1" applyFont="1" applyFill="1" applyBorder="1" applyAlignment="1">
      <alignment horizontal="center" vertical="center"/>
    </xf>
    <xf numFmtId="4" fontId="96" fillId="25"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61" fillId="19" borderId="0" xfId="0" applyFont="1" applyFill="1" applyBorder="1" applyAlignment="1">
      <alignment horizontal="right" vertical="center"/>
    </xf>
    <xf numFmtId="0" fontId="108" fillId="18" borderId="0" xfId="0" applyFont="1" applyFill="1" applyBorder="1" applyAlignment="1">
      <alignment horizontal="center" vertical="center"/>
    </xf>
    <xf numFmtId="2" fontId="98" fillId="17" borderId="0" xfId="0" applyNumberFormat="1" applyFont="1" applyFill="1" applyAlignment="1">
      <alignment horizontal="center" vertical="center"/>
    </xf>
    <xf numFmtId="180" fontId="99" fillId="17" borderId="0" xfId="0" applyNumberFormat="1" applyFont="1" applyFill="1" applyAlignment="1">
      <alignment horizontal="center" vertical="center"/>
    </xf>
    <xf numFmtId="182" fontId="99" fillId="17" borderId="0" xfId="0" applyNumberFormat="1" applyFont="1" applyFill="1" applyAlignment="1">
      <alignment horizontal="center" vertical="center"/>
    </xf>
    <xf numFmtId="0" fontId="78" fillId="19" borderId="0" xfId="0" applyFont="1" applyFill="1" applyAlignment="1">
      <alignment horizontal="center" vertical="center"/>
    </xf>
    <xf numFmtId="0" fontId="78" fillId="0" borderId="0" xfId="0" applyFont="1" applyFill="1" applyAlignment="1">
      <alignment horizontal="center" vertical="center"/>
    </xf>
    <xf numFmtId="0" fontId="3" fillId="0" borderId="0" xfId="0" applyFont="1" applyFill="1" applyBorder="1" applyAlignment="1">
      <alignment horizontal="center" vertical="center"/>
    </xf>
    <xf numFmtId="0" fontId="61" fillId="19" borderId="0" xfId="0" applyFont="1" applyFill="1" applyBorder="1" applyAlignment="1">
      <alignment horizontal="right" vertical="center"/>
    </xf>
    <xf numFmtId="0" fontId="61" fillId="19" borderId="0" xfId="0" applyFont="1" applyFill="1" applyAlignment="1">
      <alignment horizontal="center" vertical="center"/>
    </xf>
    <xf numFmtId="0" fontId="39" fillId="0" borderId="0" xfId="0" applyFont="1" applyFill="1" applyBorder="1" applyAlignment="1">
      <alignment vertical="center"/>
    </xf>
    <xf numFmtId="0" fontId="108" fillId="0" borderId="0" xfId="0" applyFont="1" applyFill="1" applyBorder="1" applyAlignment="1">
      <alignment vertical="center"/>
    </xf>
    <xf numFmtId="1" fontId="111" fillId="17" borderId="0" xfId="0" applyNumberFormat="1" applyFont="1" applyFill="1" applyBorder="1" applyAlignment="1">
      <alignment horizontal="center" vertical="center"/>
    </xf>
    <xf numFmtId="1" fontId="39" fillId="17" borderId="0" xfId="0" applyNumberFormat="1" applyFont="1" applyFill="1" applyBorder="1" applyAlignment="1">
      <alignment horizontal="center" vertical="center"/>
    </xf>
    <xf numFmtId="0" fontId="39" fillId="0" borderId="0" xfId="0" applyFont="1" applyBorder="1" applyAlignment="1">
      <alignment vertical="center"/>
    </xf>
    <xf numFmtId="167" fontId="96" fillId="17" borderId="0" xfId="0" applyNumberFormat="1" applyFont="1" applyFill="1" applyBorder="1" applyAlignment="1">
      <alignment horizontal="center" vertical="center"/>
    </xf>
    <xf numFmtId="171" fontId="39" fillId="17" borderId="0" xfId="0" applyNumberFormat="1" applyFont="1" applyFill="1" applyBorder="1" applyAlignment="1">
      <alignment horizontal="center" vertical="center"/>
    </xf>
    <xf numFmtId="2" fontId="96" fillId="17" borderId="0" xfId="0" applyNumberFormat="1" applyFont="1" applyFill="1" applyBorder="1" applyAlignment="1">
      <alignment horizontal="center" vertical="center"/>
    </xf>
    <xf numFmtId="3" fontId="96" fillId="17" borderId="0" xfId="0" applyNumberFormat="1" applyFont="1" applyFill="1" applyBorder="1" applyAlignment="1">
      <alignment horizontal="center" vertical="center"/>
    </xf>
    <xf numFmtId="2" fontId="94" fillId="0" borderId="0" xfId="1" applyNumberFormat="1" applyFont="1" applyAlignment="1">
      <alignment horizontal="center" vertical="center"/>
    </xf>
    <xf numFmtId="0" fontId="39" fillId="0" borderId="0" xfId="0" applyFont="1" applyFill="1" applyBorder="1" applyAlignment="1">
      <alignment vertical="center" wrapText="1"/>
    </xf>
    <xf numFmtId="0" fontId="39" fillId="17" borderId="0" xfId="0" applyFont="1" applyFill="1" applyAlignment="1">
      <alignment vertical="center"/>
    </xf>
    <xf numFmtId="1" fontId="96" fillId="17" borderId="0" xfId="0" applyNumberFormat="1" applyFont="1" applyFill="1" applyAlignment="1">
      <alignment horizontal="center" vertical="center"/>
    </xf>
    <xf numFmtId="180" fontId="111" fillId="17" borderId="0" xfId="0" applyNumberFormat="1" applyFont="1" applyFill="1" applyBorder="1" applyAlignment="1">
      <alignment horizontal="center" vertical="center"/>
    </xf>
    <xf numFmtId="9" fontId="94" fillId="0" borderId="0" xfId="1" applyFont="1" applyFill="1" applyAlignment="1">
      <alignment vertical="center"/>
    </xf>
    <xf numFmtId="2" fontId="39" fillId="17" borderId="0" xfId="0" applyNumberFormat="1" applyFont="1" applyFill="1" applyBorder="1" applyAlignment="1">
      <alignment horizontal="center" vertical="center"/>
    </xf>
    <xf numFmtId="2" fontId="110" fillId="17" borderId="0" xfId="0" applyNumberFormat="1" applyFont="1" applyFill="1" applyBorder="1" applyAlignment="1">
      <alignment horizontal="center" vertical="center"/>
    </xf>
    <xf numFmtId="3" fontId="110" fillId="17" borderId="0" xfId="0" applyNumberFormat="1" applyFont="1" applyFill="1" applyBorder="1" applyAlignment="1">
      <alignment horizontal="center" vertical="center"/>
    </xf>
    <xf numFmtId="0" fontId="39" fillId="17" borderId="0" xfId="0" applyFont="1" applyFill="1" applyAlignment="1">
      <alignment horizontal="center" vertical="center"/>
    </xf>
    <xf numFmtId="2" fontId="39" fillId="0" borderId="0" xfId="0" applyNumberFormat="1" applyFont="1" applyFill="1" applyAlignment="1">
      <alignment vertical="center"/>
    </xf>
    <xf numFmtId="2" fontId="39" fillId="0" borderId="0" xfId="0" applyNumberFormat="1" applyFont="1" applyFill="1" applyAlignment="1">
      <alignment horizontal="center" vertical="center"/>
    </xf>
    <xf numFmtId="11" fontId="106" fillId="0" borderId="0"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3" fontId="101" fillId="0" borderId="0" xfId="0" applyNumberFormat="1" applyFont="1" applyBorder="1" applyAlignment="1">
      <alignment horizontal="center" vertical="center"/>
    </xf>
    <xf numFmtId="0" fontId="106" fillId="0" borderId="0" xfId="0" applyFont="1" applyFill="1" applyBorder="1" applyAlignment="1">
      <alignment vertical="center"/>
    </xf>
    <xf numFmtId="11" fontId="101" fillId="0" borderId="0" xfId="0" applyNumberFormat="1" applyFont="1" applyFill="1" applyBorder="1" applyAlignment="1">
      <alignment horizontal="center" vertical="center"/>
    </xf>
    <xf numFmtId="0" fontId="94" fillId="0" borderId="0" xfId="0" applyFont="1" applyAlignment="1">
      <alignment vertical="center"/>
    </xf>
    <xf numFmtId="0" fontId="94" fillId="0" borderId="0" xfId="0" applyFont="1" applyFill="1" applyAlignment="1">
      <alignment vertical="center"/>
    </xf>
    <xf numFmtId="169" fontId="96" fillId="17" borderId="0" xfId="1" applyNumberFormat="1" applyFont="1" applyFill="1" applyBorder="1" applyAlignment="1">
      <alignment horizontal="center" vertical="center"/>
    </xf>
    <xf numFmtId="2" fontId="101" fillId="17" borderId="0" xfId="0" applyNumberFormat="1" applyFont="1" applyFill="1" applyBorder="1" applyAlignment="1">
      <alignment horizontal="center" vertical="center"/>
    </xf>
    <xf numFmtId="0" fontId="101" fillId="0" borderId="0" xfId="0" applyFont="1" applyAlignment="1">
      <alignment vertical="center"/>
    </xf>
    <xf numFmtId="11" fontId="39" fillId="0" borderId="0" xfId="0" applyNumberFormat="1" applyFont="1" applyFill="1" applyAlignment="1">
      <alignment horizontal="center" vertical="center"/>
    </xf>
    <xf numFmtId="2" fontId="94" fillId="0" borderId="0" xfId="0" applyNumberFormat="1" applyFont="1" applyFill="1" applyAlignment="1">
      <alignment horizontal="center" vertical="center"/>
    </xf>
    <xf numFmtId="0" fontId="115" fillId="0" borderId="0" xfId="0" applyFont="1" applyFill="1" applyBorder="1" applyAlignment="1">
      <alignment vertical="center"/>
    </xf>
    <xf numFmtId="0" fontId="94" fillId="0" borderId="0" xfId="0" applyFont="1" applyBorder="1" applyAlignment="1">
      <alignment vertical="center"/>
    </xf>
    <xf numFmtId="2" fontId="116" fillId="0" borderId="0" xfId="0" applyNumberFormat="1" applyFont="1" applyFill="1" applyAlignment="1">
      <alignment horizontal="center" vertical="center"/>
    </xf>
    <xf numFmtId="11" fontId="101" fillId="0" borderId="0" xfId="0" applyNumberFormat="1" applyFont="1" applyFill="1" applyAlignment="1">
      <alignment horizontal="center" vertical="center"/>
    </xf>
    <xf numFmtId="0" fontId="112" fillId="0" borderId="0" xfId="0" applyFont="1" applyFill="1" applyBorder="1" applyAlignment="1">
      <alignment vertical="center" textRotation="90"/>
    </xf>
    <xf numFmtId="0" fontId="112" fillId="9" borderId="0" xfId="0" applyFont="1" applyFill="1" applyBorder="1" applyAlignment="1">
      <alignment horizontal="center" vertical="center" wrapText="1"/>
    </xf>
    <xf numFmtId="0" fontId="106" fillId="0" borderId="0" xfId="0" applyFont="1" applyAlignment="1">
      <alignment horizontal="center" vertical="center"/>
    </xf>
    <xf numFmtId="11" fontId="106" fillId="0" borderId="0" xfId="0" applyNumberFormat="1" applyFont="1" applyAlignment="1">
      <alignment horizontal="center" vertical="center"/>
    </xf>
    <xf numFmtId="2" fontId="108" fillId="0" borderId="0" xfId="0" applyNumberFormat="1" applyFont="1" applyFill="1" applyBorder="1" applyAlignment="1">
      <alignment horizontal="center" vertical="center"/>
    </xf>
    <xf numFmtId="11" fontId="108" fillId="0" borderId="0" xfId="0" applyNumberFormat="1" applyFont="1" applyFill="1" applyBorder="1" applyAlignment="1">
      <alignment horizontal="center" vertical="center"/>
    </xf>
    <xf numFmtId="0" fontId="61" fillId="17" borderId="0" xfId="0" applyFont="1" applyFill="1" applyBorder="1" applyAlignment="1">
      <alignment horizontal="left" vertical="center" indent="1"/>
    </xf>
    <xf numFmtId="0" fontId="101" fillId="17" borderId="0" xfId="0" applyFont="1" applyFill="1" applyBorder="1" applyAlignment="1">
      <alignment horizontal="left" vertical="center" indent="1"/>
    </xf>
    <xf numFmtId="2" fontId="106" fillId="17" borderId="0" xfId="0" applyNumberFormat="1" applyFont="1" applyFill="1" applyBorder="1" applyAlignment="1">
      <alignment vertical="center"/>
    </xf>
    <xf numFmtId="0" fontId="78" fillId="17" borderId="0" xfId="0" applyFont="1" applyFill="1" applyBorder="1" applyAlignment="1">
      <alignment horizontal="left" vertical="center" indent="1"/>
    </xf>
    <xf numFmtId="4" fontId="101" fillId="17" borderId="0" xfId="0" applyNumberFormat="1" applyFont="1" applyFill="1" applyBorder="1" applyAlignment="1">
      <alignment horizontal="center" vertical="center"/>
    </xf>
    <xf numFmtId="4" fontId="96" fillId="17" borderId="0" xfId="0" applyNumberFormat="1" applyFont="1" applyFill="1" applyBorder="1" applyAlignment="1">
      <alignment horizontal="center" vertical="center"/>
    </xf>
    <xf numFmtId="0" fontId="108" fillId="22" borderId="0" xfId="0" applyFont="1" applyFill="1" applyBorder="1" applyAlignment="1">
      <alignment vertical="center"/>
    </xf>
    <xf numFmtId="0" fontId="108" fillId="22" borderId="0" xfId="0" applyFont="1" applyFill="1" applyBorder="1" applyAlignment="1">
      <alignment horizontal="center" vertical="center"/>
    </xf>
    <xf numFmtId="11" fontId="108" fillId="22" borderId="0" xfId="0" applyNumberFormat="1" applyFont="1" applyFill="1" applyBorder="1" applyAlignment="1">
      <alignment vertical="center"/>
    </xf>
    <xf numFmtId="11" fontId="39" fillId="22" borderId="0" xfId="0" applyNumberFormat="1" applyFont="1" applyFill="1" applyBorder="1" applyAlignment="1">
      <alignment horizontal="center" vertical="center"/>
    </xf>
    <xf numFmtId="11" fontId="108" fillId="22" borderId="0" xfId="0" applyNumberFormat="1" applyFont="1" applyFill="1" applyBorder="1" applyAlignment="1">
      <alignment horizontal="center" vertical="center"/>
    </xf>
    <xf numFmtId="0" fontId="112" fillId="21" borderId="0" xfId="0" applyFont="1" applyFill="1" applyBorder="1" applyAlignment="1">
      <alignment vertical="center"/>
    </xf>
    <xf numFmtId="11" fontId="39" fillId="21" borderId="0" xfId="0" applyNumberFormat="1" applyFont="1" applyFill="1" applyBorder="1" applyAlignment="1">
      <alignment vertical="center"/>
    </xf>
    <xf numFmtId="1" fontId="39" fillId="21" borderId="0" xfId="0" applyNumberFormat="1" applyFont="1" applyFill="1" applyBorder="1" applyAlignment="1">
      <alignment vertical="center"/>
    </xf>
    <xf numFmtId="1" fontId="111" fillId="21" borderId="0" xfId="0" applyNumberFormat="1" applyFont="1" applyFill="1" applyBorder="1" applyAlignment="1">
      <alignment horizontal="center" vertical="center"/>
    </xf>
    <xf numFmtId="2" fontId="39" fillId="21" borderId="0" xfId="0" applyNumberFormat="1" applyFont="1" applyFill="1" applyBorder="1" applyAlignment="1">
      <alignment vertical="center"/>
    </xf>
    <xf numFmtId="3" fontId="39" fillId="21" borderId="0" xfId="0" applyNumberFormat="1" applyFont="1" applyFill="1" applyBorder="1" applyAlignment="1">
      <alignment vertical="center"/>
    </xf>
    <xf numFmtId="180" fontId="108" fillId="22" borderId="0" xfId="0" applyNumberFormat="1" applyFont="1" applyFill="1" applyBorder="1" applyAlignment="1">
      <alignment horizontal="center" vertical="center"/>
    </xf>
    <xf numFmtId="0" fontId="39" fillId="19" borderId="0" xfId="0" applyFont="1" applyFill="1" applyAlignment="1">
      <alignment vertical="center"/>
    </xf>
    <xf numFmtId="182" fontId="101" fillId="17" borderId="0" xfId="0" applyNumberFormat="1" applyFont="1" applyFill="1" applyBorder="1" applyAlignment="1">
      <alignment horizontal="center" vertical="center"/>
    </xf>
    <xf numFmtId="178" fontId="101" fillId="17" borderId="0" xfId="0" applyNumberFormat="1" applyFont="1" applyFill="1" applyBorder="1" applyAlignment="1">
      <alignment horizontal="center" vertical="center"/>
    </xf>
    <xf numFmtId="180" fontId="96" fillId="17" borderId="0" xfId="0" applyNumberFormat="1" applyFont="1" applyFill="1" applyBorder="1" applyAlignment="1">
      <alignment horizontal="center" vertical="center"/>
    </xf>
    <xf numFmtId="0" fontId="43" fillId="17" borderId="0" xfId="0" applyFont="1" applyFill="1" applyBorder="1" applyAlignment="1">
      <alignment horizontal="center" vertical="center"/>
    </xf>
    <xf numFmtId="180" fontId="98" fillId="17" borderId="0" xfId="0" applyNumberFormat="1" applyFont="1" applyFill="1" applyAlignment="1">
      <alignment horizontal="center" vertical="center"/>
    </xf>
    <xf numFmtId="0" fontId="39" fillId="0" borderId="0" xfId="0" applyFont="1" applyAlignment="1">
      <alignment horizontal="left" vertical="center"/>
    </xf>
    <xf numFmtId="167" fontId="3" fillId="17" borderId="0" xfId="0" applyNumberFormat="1" applyFont="1" applyFill="1" applyAlignment="1">
      <alignment horizontal="center" vertical="center"/>
    </xf>
    <xf numFmtId="0" fontId="112" fillId="0" borderId="0" xfId="0" applyFont="1" applyFill="1" applyBorder="1" applyAlignment="1">
      <alignment horizontal="center" vertical="center" textRotation="90" wrapText="1"/>
    </xf>
    <xf numFmtId="0" fontId="74" fillId="21" borderId="0" xfId="0" applyFont="1" applyFill="1" applyBorder="1" applyAlignment="1">
      <alignment vertical="center"/>
    </xf>
    <xf numFmtId="4" fontId="110" fillId="17" borderId="0" xfId="0" applyNumberFormat="1" applyFont="1" applyFill="1" applyBorder="1" applyAlignment="1">
      <alignment horizontal="center" vertical="center"/>
    </xf>
    <xf numFmtId="0" fontId="78" fillId="30" borderId="0" xfId="0" applyFont="1" applyFill="1" applyBorder="1" applyAlignment="1">
      <alignment horizontal="left" vertical="center" indent="1"/>
    </xf>
    <xf numFmtId="0" fontId="106" fillId="30" borderId="0" xfId="0" applyFont="1" applyFill="1" applyBorder="1" applyAlignment="1">
      <alignment horizontal="left" vertical="center" indent="1"/>
    </xf>
    <xf numFmtId="4" fontId="110" fillId="30" borderId="0" xfId="0" applyNumberFormat="1" applyFont="1" applyFill="1" applyBorder="1" applyAlignment="1">
      <alignment horizontal="center" vertical="center"/>
    </xf>
    <xf numFmtId="4" fontId="108" fillId="22" borderId="0" xfId="0" applyNumberFormat="1" applyFont="1" applyFill="1" applyBorder="1" applyAlignment="1">
      <alignment horizontal="center" vertical="center"/>
    </xf>
    <xf numFmtId="0" fontId="108" fillId="22" borderId="0" xfId="0" applyFont="1" applyFill="1" applyBorder="1" applyAlignment="1">
      <alignment horizontal="center" vertical="center"/>
    </xf>
    <xf numFmtId="0" fontId="78" fillId="17" borderId="16" xfId="0" applyFont="1" applyFill="1" applyBorder="1" applyAlignment="1">
      <alignment horizontal="left" vertical="center" indent="1"/>
    </xf>
    <xf numFmtId="4" fontId="106" fillId="17" borderId="0" xfId="0" applyNumberFormat="1" applyFont="1" applyFill="1" applyBorder="1" applyAlignment="1">
      <alignment horizontal="center" vertical="center"/>
    </xf>
    <xf numFmtId="0" fontId="39" fillId="19" borderId="0" xfId="0" applyFont="1" applyFill="1" applyAlignment="1">
      <alignment horizontal="center"/>
    </xf>
    <xf numFmtId="0" fontId="118" fillId="9" borderId="0" xfId="0" applyFont="1" applyFill="1" applyAlignment="1">
      <alignment horizontal="center" vertical="center"/>
    </xf>
    <xf numFmtId="0" fontId="61" fillId="19" borderId="0" xfId="0" applyFont="1" applyFill="1" applyBorder="1" applyAlignment="1">
      <alignment horizontal="right" vertical="center" wrapText="1" indent="1"/>
    </xf>
    <xf numFmtId="0" fontId="118" fillId="0" borderId="0" xfId="0" applyFont="1" applyFill="1" applyAlignment="1">
      <alignment horizontal="center" vertical="center"/>
    </xf>
    <xf numFmtId="0" fontId="86" fillId="0" borderId="0" xfId="0" applyFont="1" applyFill="1" applyBorder="1" applyAlignment="1">
      <alignment horizontal="center"/>
    </xf>
    <xf numFmtId="180" fontId="39" fillId="17" borderId="0" xfId="0" applyNumberFormat="1" applyFont="1" applyFill="1" applyBorder="1" applyAlignment="1">
      <alignment horizontal="center" vertical="center"/>
    </xf>
    <xf numFmtId="0" fontId="39" fillId="0" borderId="0" xfId="0" applyFont="1"/>
    <xf numFmtId="0" fontId="70" fillId="0" borderId="0" xfId="0" applyFont="1" applyFill="1" applyAlignment="1">
      <alignment vertical="center" wrapText="1"/>
    </xf>
    <xf numFmtId="11" fontId="39" fillId="0" borderId="0" xfId="0" applyNumberFormat="1" applyFont="1" applyFill="1" applyAlignment="1">
      <alignment horizontal="center"/>
    </xf>
    <xf numFmtId="4" fontId="39" fillId="0" borderId="0" xfId="0" applyNumberFormat="1" applyFont="1" applyFill="1" applyAlignment="1">
      <alignment horizontal="center"/>
    </xf>
    <xf numFmtId="9" fontId="39" fillId="0" borderId="0" xfId="1" applyFont="1" applyFill="1" applyAlignment="1">
      <alignment horizontal="center"/>
    </xf>
    <xf numFmtId="2" fontId="70" fillId="0" borderId="0" xfId="0" applyNumberFormat="1" applyFont="1" applyFill="1"/>
    <xf numFmtId="3" fontId="39" fillId="0" borderId="0" xfId="0" applyNumberFormat="1" applyFont="1" applyFill="1" applyBorder="1" applyAlignment="1">
      <alignment horizontal="center"/>
    </xf>
    <xf numFmtId="180" fontId="39" fillId="0" borderId="0" xfId="0" applyNumberFormat="1" applyFont="1" applyFill="1" applyBorder="1" applyAlignment="1">
      <alignment horizontal="center"/>
    </xf>
    <xf numFmtId="0" fontId="70" fillId="0" borderId="0" xfId="0" applyFont="1" applyFill="1" applyBorder="1" applyAlignment="1">
      <alignment horizontal="center"/>
    </xf>
    <xf numFmtId="11" fontId="101" fillId="0" borderId="0" xfId="0" applyNumberFormat="1" applyFont="1" applyFill="1" applyBorder="1" applyAlignment="1">
      <alignment horizontal="center"/>
    </xf>
    <xf numFmtId="2" fontId="101" fillId="0" borderId="0" xfId="0" applyNumberFormat="1" applyFont="1" applyFill="1" applyBorder="1" applyAlignment="1">
      <alignment horizontal="center"/>
    </xf>
    <xf numFmtId="2" fontId="106" fillId="0" borderId="0" xfId="0" applyNumberFormat="1" applyFont="1" applyFill="1" applyBorder="1" applyAlignment="1">
      <alignment horizontal="center"/>
    </xf>
    <xf numFmtId="0" fontId="70" fillId="0" borderId="0" xfId="0" applyFont="1" applyFill="1"/>
    <xf numFmtId="2" fontId="39" fillId="0" borderId="0" xfId="0" applyNumberFormat="1" applyFont="1" applyFill="1" applyAlignment="1">
      <alignment horizontal="center"/>
    </xf>
    <xf numFmtId="1" fontId="101" fillId="0" borderId="0" xfId="0" applyNumberFormat="1" applyFont="1" applyFill="1" applyAlignment="1">
      <alignment horizontal="center"/>
    </xf>
    <xf numFmtId="2" fontId="100" fillId="0" borderId="0" xfId="0" applyNumberFormat="1" applyFont="1" applyFill="1" applyBorder="1" applyAlignment="1">
      <alignment vertical="center"/>
    </xf>
    <xf numFmtId="1" fontId="39" fillId="0" borderId="0" xfId="0" applyNumberFormat="1" applyFont="1" applyFill="1"/>
    <xf numFmtId="4" fontId="39" fillId="0" borderId="0" xfId="0" applyNumberFormat="1" applyFont="1" applyFill="1" applyBorder="1" applyAlignment="1">
      <alignment horizontal="center"/>
    </xf>
    <xf numFmtId="2" fontId="106" fillId="0" borderId="0" xfId="0" applyNumberFormat="1" applyFont="1" applyFill="1" applyBorder="1" applyAlignment="1">
      <alignment horizontal="center" vertical="center"/>
    </xf>
    <xf numFmtId="183" fontId="101" fillId="17" borderId="0" xfId="0" applyNumberFormat="1" applyFont="1" applyFill="1" applyBorder="1" applyAlignment="1">
      <alignment horizontal="center" vertical="center"/>
    </xf>
    <xf numFmtId="1" fontId="119" fillId="17" borderId="0" xfId="0" applyNumberFormat="1" applyFont="1" applyFill="1" applyAlignment="1">
      <alignment horizontal="center" vertical="center"/>
    </xf>
    <xf numFmtId="167" fontId="119" fillId="17" borderId="0" xfId="0" applyNumberFormat="1" applyFont="1" applyFill="1" applyAlignment="1">
      <alignment horizontal="center" vertical="center"/>
    </xf>
    <xf numFmtId="182" fontId="119" fillId="17" borderId="0" xfId="0" applyNumberFormat="1" applyFont="1" applyFill="1" applyAlignment="1">
      <alignment horizontal="center" vertical="center"/>
    </xf>
    <xf numFmtId="11" fontId="108" fillId="22" borderId="0" xfId="0" applyNumberFormat="1" applyFont="1" applyFill="1" applyBorder="1" applyAlignment="1">
      <alignment horizontal="left" vertical="center"/>
    </xf>
    <xf numFmtId="0" fontId="118" fillId="0" borderId="0" xfId="0" applyFont="1" applyFill="1" applyBorder="1" applyAlignment="1">
      <alignment horizontal="center"/>
    </xf>
    <xf numFmtId="180" fontId="39" fillId="0" borderId="0" xfId="0" applyNumberFormat="1" applyFont="1" applyFill="1" applyAlignment="1">
      <alignment horizontal="center"/>
    </xf>
    <xf numFmtId="168" fontId="39" fillId="0" borderId="0" xfId="0" applyNumberFormat="1" applyFont="1" applyFill="1" applyAlignment="1">
      <alignment horizontal="center"/>
    </xf>
    <xf numFmtId="0" fontId="111" fillId="0" borderId="0" xfId="0" applyFont="1" applyFill="1" applyAlignment="1">
      <alignment horizontal="center"/>
    </xf>
    <xf numFmtId="3" fontId="39" fillId="0" borderId="0" xfId="0" applyNumberFormat="1" applyFont="1" applyFill="1" applyAlignment="1">
      <alignment horizontal="center"/>
    </xf>
    <xf numFmtId="4" fontId="120" fillId="17" borderId="0" xfId="0" applyNumberFormat="1" applyFont="1" applyFill="1" applyBorder="1" applyAlignment="1">
      <alignment horizontal="center" vertical="center"/>
    </xf>
    <xf numFmtId="4" fontId="70" fillId="0" borderId="0" xfId="0" applyNumberFormat="1" applyFont="1" applyFill="1" applyAlignment="1">
      <alignment horizontal="center"/>
    </xf>
    <xf numFmtId="1" fontId="70" fillId="0" borderId="0" xfId="0" applyNumberFormat="1" applyFont="1" applyFill="1"/>
    <xf numFmtId="2" fontId="118" fillId="0" borderId="0" xfId="0" applyNumberFormat="1" applyFont="1" applyFill="1" applyBorder="1" applyAlignment="1">
      <alignment horizontal="center"/>
    </xf>
    <xf numFmtId="0" fontId="118" fillId="0" borderId="0" xfId="0" applyFont="1" applyFill="1" applyBorder="1" applyAlignment="1"/>
    <xf numFmtId="171" fontId="70" fillId="0" borderId="0" xfId="1" applyNumberFormat="1" applyFont="1" applyFill="1" applyAlignment="1">
      <alignment horizontal="center"/>
    </xf>
    <xf numFmtId="9" fontId="70" fillId="0" borderId="0" xfId="1" applyFont="1" applyFill="1" applyAlignment="1">
      <alignment horizontal="center"/>
    </xf>
    <xf numFmtId="1" fontId="70" fillId="0" borderId="0" xfId="0" applyNumberFormat="1" applyFont="1" applyFill="1" applyBorder="1" applyAlignment="1">
      <alignment horizontal="center"/>
    </xf>
    <xf numFmtId="10" fontId="70" fillId="0" borderId="0" xfId="1" applyNumberFormat="1" applyFont="1" applyFill="1"/>
    <xf numFmtId="182" fontId="96" fillId="17" borderId="0" xfId="0" applyNumberFormat="1" applyFont="1" applyFill="1" applyBorder="1" applyAlignment="1">
      <alignment horizontal="center" vertical="center"/>
    </xf>
    <xf numFmtId="0" fontId="5" fillId="19" borderId="0" xfId="0" applyFont="1" applyFill="1" applyAlignment="1">
      <alignment vertical="center"/>
    </xf>
    <xf numFmtId="0" fontId="0" fillId="0" borderId="0" xfId="0" quotePrefix="1" applyFill="1" applyAlignment="1">
      <alignment vertical="center"/>
    </xf>
    <xf numFmtId="0" fontId="122" fillId="19" borderId="0" xfId="0" applyFont="1" applyFill="1" applyBorder="1" applyAlignment="1">
      <alignment horizontal="center" vertical="center"/>
    </xf>
    <xf numFmtId="0" fontId="0" fillId="19" borderId="0" xfId="0" applyFont="1" applyFill="1" applyAlignment="1">
      <alignment vertical="center"/>
    </xf>
    <xf numFmtId="0" fontId="61" fillId="0" borderId="0" xfId="0" applyFont="1" applyFill="1" applyBorder="1" applyAlignment="1">
      <alignment vertical="center"/>
    </xf>
    <xf numFmtId="0" fontId="61" fillId="0" borderId="0" xfId="0" applyFont="1" applyFill="1" applyBorder="1" applyAlignment="1">
      <alignment horizontal="right" vertical="center"/>
    </xf>
    <xf numFmtId="168" fontId="70" fillId="0" borderId="0" xfId="0" applyNumberFormat="1" applyFont="1" applyFill="1" applyBorder="1" applyAlignment="1">
      <alignment horizontal="center" vertical="center"/>
    </xf>
    <xf numFmtId="168" fontId="111" fillId="17" borderId="0" xfId="0" applyNumberFormat="1" applyFont="1" applyFill="1" applyBorder="1" applyAlignment="1">
      <alignment horizontal="center" vertical="center"/>
    </xf>
    <xf numFmtId="11" fontId="3" fillId="0" borderId="0" xfId="80" applyNumberFormat="1" applyFont="1" applyFill="1" applyAlignment="1">
      <alignment horizontal="center" vertical="center"/>
    </xf>
    <xf numFmtId="0" fontId="27" fillId="0" borderId="0" xfId="0" applyFont="1" applyFill="1" applyBorder="1"/>
    <xf numFmtId="0" fontId="76" fillId="0" borderId="0" xfId="80" applyFont="1" applyFill="1" applyAlignment="1">
      <alignment horizontal="center" vertical="center"/>
    </xf>
    <xf numFmtId="0" fontId="0" fillId="0" borderId="0" xfId="0" applyFont="1" applyFill="1" applyBorder="1"/>
    <xf numFmtId="0" fontId="87" fillId="0" borderId="0" xfId="80" applyFont="1" applyFill="1" applyBorder="1"/>
    <xf numFmtId="0" fontId="87" fillId="0" borderId="0" xfId="80" applyFont="1" applyFill="1"/>
    <xf numFmtId="0" fontId="46" fillId="0" borderId="0" xfId="0" applyFont="1" applyFill="1" applyBorder="1" applyAlignment="1">
      <alignment horizontal="center" vertical="center"/>
    </xf>
    <xf numFmtId="11" fontId="88" fillId="0" borderId="0" xfId="80" applyNumberFormat="1" applyFont="1" applyFill="1" applyBorder="1" applyAlignment="1"/>
    <xf numFmtId="0" fontId="0" fillId="0" borderId="0" xfId="0" applyFont="1" applyFill="1" applyBorder="1" applyAlignment="1"/>
    <xf numFmtId="0" fontId="87" fillId="0" borderId="0" xfId="80" applyFont="1" applyFill="1" applyBorder="1" applyAlignment="1"/>
    <xf numFmtId="0" fontId="46" fillId="0" borderId="0" xfId="0" applyFont="1" applyFill="1" applyAlignment="1">
      <alignment horizontal="center" vertical="center"/>
    </xf>
    <xf numFmtId="11" fontId="89" fillId="0" borderId="0" xfId="80" applyNumberFormat="1" applyFont="1" applyFill="1" applyBorder="1"/>
    <xf numFmtId="170" fontId="31" fillId="0" borderId="0" xfId="0" applyNumberFormat="1" applyFont="1" applyFill="1" applyAlignment="1">
      <alignment horizontal="center" vertical="center"/>
    </xf>
    <xf numFmtId="0" fontId="89" fillId="0" borderId="0" xfId="80" applyFont="1" applyFill="1" applyBorder="1"/>
    <xf numFmtId="11" fontId="37" fillId="0" borderId="0" xfId="0" applyNumberFormat="1" applyFont="1" applyFill="1" applyAlignment="1">
      <alignment horizontal="center"/>
    </xf>
    <xf numFmtId="0" fontId="36" fillId="0" borderId="0" xfId="0" applyFont="1" applyFill="1"/>
    <xf numFmtId="11" fontId="50" fillId="0" borderId="0" xfId="0" applyNumberFormat="1" applyFont="1" applyFill="1" applyAlignment="1">
      <alignment horizontal="center" vertical="center"/>
    </xf>
    <xf numFmtId="0" fontId="78" fillId="19" borderId="0" xfId="0" applyFont="1" applyFill="1" applyAlignment="1">
      <alignment horizontal="center" vertical="center"/>
    </xf>
    <xf numFmtId="0" fontId="78" fillId="0" borderId="0" xfId="0" applyFont="1" applyFill="1" applyAlignment="1">
      <alignment horizontal="center" vertical="center"/>
    </xf>
    <xf numFmtId="0" fontId="108" fillId="22" borderId="0" xfId="0" applyFont="1" applyFill="1" applyBorder="1" applyAlignment="1">
      <alignment horizontal="center" vertical="center"/>
    </xf>
    <xf numFmtId="0" fontId="57" fillId="0" borderId="0" xfId="0" applyFont="1" applyFill="1" applyBorder="1" applyAlignment="1">
      <alignment horizontal="center" vertical="center"/>
    </xf>
    <xf numFmtId="0" fontId="0" fillId="0" borderId="0" xfId="0" applyFont="1" applyFill="1" applyAlignment="1">
      <alignment horizontal="center"/>
    </xf>
    <xf numFmtId="0" fontId="100" fillId="18" borderId="0" xfId="0" applyFont="1" applyFill="1" applyBorder="1" applyAlignment="1">
      <alignment horizontal="center" vertical="center"/>
    </xf>
    <xf numFmtId="0" fontId="61" fillId="19" borderId="0" xfId="0" applyFont="1" applyFill="1" applyBorder="1" applyAlignment="1">
      <alignment horizontal="right" vertical="center"/>
    </xf>
    <xf numFmtId="0" fontId="3" fillId="0" borderId="0" xfId="0" applyFont="1" applyFill="1" applyBorder="1" applyAlignment="1">
      <alignment horizontal="center" vertical="center"/>
    </xf>
    <xf numFmtId="0" fontId="108" fillId="22" borderId="0" xfId="0" applyFont="1" applyFill="1" applyBorder="1" applyAlignment="1">
      <alignment horizontal="center" vertical="center"/>
    </xf>
    <xf numFmtId="0" fontId="112" fillId="17" borderId="0" xfId="0" applyFont="1" applyFill="1" applyBorder="1" applyAlignment="1">
      <alignment horizontal="center" vertical="center"/>
    </xf>
    <xf numFmtId="0" fontId="124" fillId="21" borderId="0" xfId="0" applyFont="1" applyFill="1" applyBorder="1" applyAlignment="1">
      <alignment vertical="center"/>
    </xf>
    <xf numFmtId="4" fontId="106" fillId="19" borderId="0" xfId="0" applyNumberFormat="1" applyFont="1" applyFill="1" applyBorder="1" applyAlignment="1">
      <alignment horizontal="center" vertical="center"/>
    </xf>
    <xf numFmtId="0" fontId="124" fillId="21" borderId="0" xfId="0" applyFont="1" applyFill="1" applyBorder="1" applyAlignment="1">
      <alignment horizontal="left" vertical="center"/>
    </xf>
    <xf numFmtId="0" fontId="103" fillId="0" borderId="0" xfId="0" applyFont="1" applyFill="1" applyBorder="1" applyAlignment="1">
      <alignment horizontal="left" vertical="center"/>
    </xf>
    <xf numFmtId="11" fontId="123" fillId="14" borderId="0" xfId="0" applyNumberFormat="1" applyFont="1" applyFill="1" applyBorder="1" applyAlignment="1">
      <alignment horizontal="center" vertical="center"/>
    </xf>
    <xf numFmtId="0" fontId="127" fillId="19" borderId="0" xfId="0" applyFont="1" applyFill="1" applyBorder="1" applyAlignment="1">
      <alignment horizontal="left" vertical="center"/>
    </xf>
    <xf numFmtId="182" fontId="127" fillId="19" borderId="0" xfId="0" applyNumberFormat="1" applyFont="1" applyFill="1" applyBorder="1" applyAlignment="1">
      <alignment horizontal="center" vertical="center"/>
    </xf>
    <xf numFmtId="180" fontId="128" fillId="19" borderId="0" xfId="0" applyNumberFormat="1" applyFont="1" applyFill="1" applyBorder="1" applyAlignment="1">
      <alignment horizontal="center" vertical="center"/>
    </xf>
    <xf numFmtId="11" fontId="61" fillId="19" borderId="0" xfId="0" applyNumberFormat="1" applyFont="1" applyFill="1" applyBorder="1" applyAlignment="1">
      <alignment horizontal="center" vertical="center"/>
    </xf>
    <xf numFmtId="11" fontId="61" fillId="16" borderId="0" xfId="0" applyNumberFormat="1" applyFont="1" applyFill="1" applyBorder="1" applyAlignment="1">
      <alignment horizontal="center" vertical="center"/>
    </xf>
    <xf numFmtId="11" fontId="124" fillId="21" borderId="0" xfId="0" applyNumberFormat="1" applyFont="1" applyFill="1" applyBorder="1" applyAlignment="1">
      <alignment vertical="center"/>
    </xf>
    <xf numFmtId="11" fontId="127" fillId="19" borderId="0" xfId="0" applyNumberFormat="1" applyFont="1" applyFill="1" applyBorder="1" applyAlignment="1">
      <alignment horizontal="center" vertical="center"/>
    </xf>
    <xf numFmtId="0" fontId="100" fillId="18" borderId="0" xfId="0" applyFont="1" applyFill="1" applyBorder="1" applyAlignment="1">
      <alignment horizontal="center" vertical="center" wrapText="1"/>
    </xf>
    <xf numFmtId="0" fontId="1" fillId="0" borderId="0" xfId="0" applyFont="1" applyFill="1" applyBorder="1" applyAlignment="1">
      <alignment horizontal="center" vertical="center"/>
    </xf>
    <xf numFmtId="3" fontId="96" fillId="25" borderId="0" xfId="0" applyNumberFormat="1" applyFont="1" applyFill="1" applyBorder="1" applyAlignment="1">
      <alignment horizontal="center" vertical="center"/>
    </xf>
    <xf numFmtId="4" fontId="101" fillId="25" borderId="0" xfId="0" applyNumberFormat="1" applyFont="1" applyFill="1" applyBorder="1" applyAlignment="1">
      <alignment horizontal="center" vertical="center"/>
    </xf>
    <xf numFmtId="0" fontId="74" fillId="17" borderId="0" xfId="0" applyFont="1" applyFill="1" applyBorder="1" applyAlignment="1">
      <alignment horizontal="left" vertical="center"/>
    </xf>
    <xf numFmtId="0" fontId="78" fillId="19" borderId="0" xfId="0" applyFont="1" applyFill="1" applyAlignment="1">
      <alignment vertical="center"/>
    </xf>
    <xf numFmtId="180" fontId="106" fillId="17" borderId="0" xfId="0" applyNumberFormat="1" applyFont="1" applyFill="1" applyBorder="1" applyAlignment="1">
      <alignment horizontal="center" vertical="center"/>
    </xf>
    <xf numFmtId="0" fontId="39" fillId="9" borderId="0" xfId="0" applyFont="1" applyFill="1" applyAlignment="1">
      <alignment vertical="center"/>
    </xf>
    <xf numFmtId="0" fontId="62" fillId="19" borderId="0" xfId="0" applyFont="1" applyFill="1" applyAlignment="1">
      <alignment horizontal="right" vertical="center" indent="1"/>
    </xf>
    <xf numFmtId="0" fontId="62" fillId="19" borderId="0" xfId="0" applyFont="1" applyFill="1" applyAlignment="1">
      <alignment horizontal="left" vertical="center" indent="1"/>
    </xf>
    <xf numFmtId="0" fontId="39" fillId="0" borderId="0" xfId="0" applyFont="1" applyFill="1" applyAlignment="1">
      <alignment horizontal="center" vertical="center"/>
    </xf>
    <xf numFmtId="0" fontId="108" fillId="22" borderId="0" xfId="0" applyFont="1" applyFill="1" applyBorder="1" applyAlignment="1">
      <alignment horizontal="center" vertical="center"/>
    </xf>
    <xf numFmtId="0" fontId="57" fillId="0" borderId="0" xfId="0" applyFont="1" applyFill="1" applyBorder="1" applyAlignment="1">
      <alignment horizontal="center" vertical="center"/>
    </xf>
    <xf numFmtId="0" fontId="100" fillId="18" borderId="0" xfId="0" applyFont="1" applyFill="1" applyBorder="1" applyAlignment="1">
      <alignment horizontal="left" vertical="center" wrapText="1"/>
    </xf>
    <xf numFmtId="0" fontId="62" fillId="19" borderId="0" xfId="0" applyFont="1" applyFill="1" applyAlignment="1">
      <alignment vertical="center"/>
    </xf>
    <xf numFmtId="169" fontId="1" fillId="32" borderId="0" xfId="1" applyNumberFormat="1" applyFont="1" applyFill="1" applyAlignment="1">
      <alignment horizontal="center" vertical="center"/>
    </xf>
    <xf numFmtId="0" fontId="78" fillId="19" borderId="0" xfId="0" applyFont="1" applyFill="1" applyAlignment="1">
      <alignment horizontal="center" vertical="center"/>
    </xf>
    <xf numFmtId="0" fontId="74" fillId="17" borderId="0" xfId="0" applyFont="1" applyFill="1" applyBorder="1" applyAlignment="1">
      <alignment horizontal="center" vertical="center"/>
    </xf>
    <xf numFmtId="0" fontId="100" fillId="33" borderId="0" xfId="0" applyFont="1" applyFill="1" applyBorder="1" applyAlignment="1">
      <alignment horizontal="center" vertical="center" wrapText="1"/>
    </xf>
    <xf numFmtId="4" fontId="110" fillId="25" borderId="0" xfId="0" applyNumberFormat="1" applyFont="1" applyFill="1" applyBorder="1" applyAlignment="1">
      <alignment horizontal="center" vertical="center"/>
    </xf>
    <xf numFmtId="0" fontId="78" fillId="19" borderId="0" xfId="0" applyFont="1" applyFill="1" applyAlignment="1">
      <alignment horizontal="center" vertical="center"/>
    </xf>
    <xf numFmtId="0" fontId="78" fillId="0" borderId="0" xfId="0" applyFont="1" applyFill="1" applyAlignment="1">
      <alignment horizontal="center" vertical="center"/>
    </xf>
    <xf numFmtId="0" fontId="78" fillId="19" borderId="0" xfId="0" applyFont="1" applyFill="1" applyAlignment="1">
      <alignment horizontal="center" vertical="center"/>
    </xf>
    <xf numFmtId="11" fontId="123" fillId="14" borderId="0" xfId="0" applyNumberFormat="1" applyFont="1" applyFill="1" applyBorder="1" applyAlignment="1">
      <alignment horizontal="center" vertical="center"/>
    </xf>
    <xf numFmtId="0" fontId="106" fillId="0" borderId="0" xfId="0" applyFont="1" applyFill="1" applyBorder="1" applyAlignment="1">
      <alignment horizontal="left" vertical="center"/>
    </xf>
    <xf numFmtId="11" fontId="108" fillId="14" borderId="0" xfId="0" applyNumberFormat="1" applyFont="1" applyFill="1" applyBorder="1" applyAlignment="1">
      <alignment horizontal="center" vertical="center"/>
    </xf>
    <xf numFmtId="4" fontId="116" fillId="0" borderId="9" xfId="0" applyNumberFormat="1" applyFont="1" applyFill="1" applyBorder="1" applyAlignment="1">
      <alignment horizontal="center" vertical="center"/>
    </xf>
    <xf numFmtId="180" fontId="116" fillId="0" borderId="9" xfId="0" applyNumberFormat="1" applyFont="1" applyFill="1" applyBorder="1" applyAlignment="1">
      <alignment horizontal="center" vertical="center"/>
    </xf>
    <xf numFmtId="4" fontId="130" fillId="0" borderId="9" xfId="1" applyNumberFormat="1" applyFont="1" applyFill="1" applyBorder="1" applyAlignment="1">
      <alignment horizontal="center" vertical="center"/>
    </xf>
    <xf numFmtId="169" fontId="130" fillId="0" borderId="9" xfId="1" applyNumberFormat="1" applyFont="1" applyFill="1" applyBorder="1" applyAlignment="1">
      <alignment horizontal="center" vertical="center"/>
    </xf>
    <xf numFmtId="3" fontId="116" fillId="0" borderId="9" xfId="1" applyNumberFormat="1" applyFont="1" applyFill="1" applyBorder="1" applyAlignment="1">
      <alignment horizontal="center" vertical="center"/>
    </xf>
    <xf numFmtId="1" fontId="96" fillId="19" borderId="0" xfId="0" applyNumberFormat="1" applyFont="1" applyFill="1" applyBorder="1" applyAlignment="1">
      <alignment horizontal="center" vertical="center"/>
    </xf>
    <xf numFmtId="11" fontId="108" fillId="22" borderId="0" xfId="0" applyNumberFormat="1" applyFont="1" applyFill="1" applyBorder="1" applyAlignment="1">
      <alignment vertical="center" wrapText="1"/>
    </xf>
    <xf numFmtId="11" fontId="108" fillId="22" borderId="0" xfId="0" applyNumberFormat="1" applyFont="1" applyFill="1" applyBorder="1" applyAlignment="1">
      <alignment horizontal="center" vertical="center" wrapText="1"/>
    </xf>
    <xf numFmtId="0" fontId="61" fillId="17" borderId="20" xfId="0" applyFont="1" applyFill="1" applyBorder="1" applyAlignment="1">
      <alignment horizontal="left" vertical="center" indent="1"/>
    </xf>
    <xf numFmtId="1" fontId="96" fillId="19" borderId="20" xfId="0" applyNumberFormat="1" applyFont="1" applyFill="1" applyBorder="1" applyAlignment="1">
      <alignment horizontal="center" vertical="center"/>
    </xf>
    <xf numFmtId="0" fontId="49" fillId="24" borderId="0" xfId="0" applyFont="1" applyFill="1" applyBorder="1" applyAlignment="1">
      <alignment vertical="center"/>
    </xf>
    <xf numFmtId="0" fontId="78" fillId="19" borderId="0" xfId="0" applyFont="1" applyFill="1" applyAlignment="1">
      <alignment horizontal="center" vertical="center"/>
    </xf>
    <xf numFmtId="0" fontId="7" fillId="0" borderId="0" xfId="0" applyFont="1" applyFill="1" applyAlignment="1"/>
    <xf numFmtId="0" fontId="85" fillId="0" borderId="0" xfId="0" applyFont="1" applyFill="1" applyAlignment="1">
      <alignment horizontal="left" vertical="center"/>
    </xf>
    <xf numFmtId="0" fontId="79" fillId="0" borderId="0" xfId="0" applyFont="1" applyFill="1" applyAlignment="1">
      <alignment horizontal="center" vertical="center"/>
    </xf>
    <xf numFmtId="0" fontId="42" fillId="0" borderId="0" xfId="0" applyFont="1" applyFill="1"/>
    <xf numFmtId="0" fontId="83" fillId="0" borderId="0" xfId="0" applyFont="1" applyFill="1" applyAlignment="1">
      <alignment horizontal="left" vertical="center"/>
    </xf>
    <xf numFmtId="0" fontId="42" fillId="0" borderId="9" xfId="0" applyFont="1" applyFill="1" applyBorder="1" applyAlignment="1"/>
    <xf numFmtId="0" fontId="82" fillId="0" borderId="0" xfId="0" applyFont="1" applyFill="1" applyBorder="1" applyAlignment="1">
      <alignment vertical="center"/>
    </xf>
    <xf numFmtId="0" fontId="42" fillId="0" borderId="0" xfId="0" applyFont="1" applyFill="1" applyBorder="1" applyAlignment="1"/>
    <xf numFmtId="0" fontId="61" fillId="0" borderId="0" xfId="0" applyFont="1" applyFill="1" applyAlignment="1">
      <alignment horizontal="center" vertical="center"/>
    </xf>
    <xf numFmtId="168" fontId="61" fillId="0" borderId="0" xfId="0" applyNumberFormat="1" applyFont="1" applyFill="1" applyBorder="1" applyAlignment="1">
      <alignment horizontal="center" vertical="center"/>
    </xf>
    <xf numFmtId="0" fontId="84" fillId="0" borderId="0" xfId="0" applyFont="1" applyFill="1" applyAlignment="1">
      <alignment horizontal="center" vertical="center"/>
    </xf>
    <xf numFmtId="0" fontId="81" fillId="0" borderId="0" xfId="78" applyFont="1" applyFill="1" applyAlignment="1">
      <alignment horizontal="center" vertical="center"/>
    </xf>
    <xf numFmtId="3" fontId="74" fillId="0" borderId="0" xfId="0" applyNumberFormat="1" applyFont="1" applyFill="1" applyBorder="1" applyAlignment="1">
      <alignment horizontal="center" vertical="center"/>
    </xf>
    <xf numFmtId="0" fontId="80" fillId="0" borderId="0" xfId="0" applyFont="1" applyFill="1" applyAlignment="1">
      <alignment horizontal="center" vertical="center"/>
    </xf>
    <xf numFmtId="0" fontId="49" fillId="0" borderId="0" xfId="0" applyFont="1" applyFill="1" applyBorder="1" applyAlignment="1">
      <alignment horizontal="center" vertical="center"/>
    </xf>
    <xf numFmtId="0" fontId="49" fillId="0" borderId="10" xfId="0" applyFont="1" applyFill="1" applyBorder="1" applyAlignment="1">
      <alignment horizontal="center" vertical="center"/>
    </xf>
    <xf numFmtId="0" fontId="49" fillId="0" borderId="0" xfId="0" applyFont="1" applyFill="1" applyBorder="1" applyAlignment="1">
      <alignment vertical="center"/>
    </xf>
    <xf numFmtId="49" fontId="0" fillId="0" borderId="0" xfId="0" applyNumberFormat="1" applyFill="1" applyAlignment="1">
      <alignment horizontal="center"/>
    </xf>
    <xf numFmtId="0" fontId="0" fillId="0" borderId="0" xfId="0" applyFill="1" applyAlignment="1">
      <alignment horizontal="center"/>
    </xf>
    <xf numFmtId="0" fontId="7" fillId="0" borderId="0" xfId="0" applyFont="1" applyFill="1"/>
    <xf numFmtId="0" fontId="55" fillId="0" borderId="0" xfId="0" applyFont="1" applyFill="1" applyAlignment="1">
      <alignment horizontal="center" vertical="center"/>
    </xf>
    <xf numFmtId="0" fontId="5" fillId="0" borderId="0" xfId="0" applyFont="1" applyFill="1"/>
    <xf numFmtId="0" fontId="52" fillId="0" borderId="0" xfId="0" applyFont="1" applyFill="1" applyAlignment="1">
      <alignment horizontal="center" vertical="center"/>
    </xf>
    <xf numFmtId="0" fontId="51" fillId="0" borderId="0" xfId="78" applyFont="1" applyFill="1" applyAlignment="1">
      <alignment horizontal="center" vertical="center"/>
    </xf>
    <xf numFmtId="11" fontId="108" fillId="14" borderId="0" xfId="0" applyNumberFormat="1" applyFont="1" applyFill="1" applyBorder="1" applyAlignment="1">
      <alignment vertical="center"/>
    </xf>
    <xf numFmtId="0" fontId="111" fillId="0" borderId="0" xfId="0" applyFont="1" applyFill="1" applyAlignment="1">
      <alignment vertical="center"/>
    </xf>
    <xf numFmtId="0" fontId="131" fillId="0" borderId="0" xfId="0" applyFont="1" applyFill="1" applyAlignment="1">
      <alignment vertical="center"/>
    </xf>
    <xf numFmtId="11" fontId="101" fillId="0" borderId="0" xfId="0" applyNumberFormat="1" applyFont="1" applyFill="1" applyBorder="1" applyAlignment="1">
      <alignment vertical="center"/>
    </xf>
    <xf numFmtId="0" fontId="70" fillId="0" borderId="0" xfId="0" applyFont="1" applyFill="1" applyAlignment="1">
      <alignment horizontal="left"/>
    </xf>
    <xf numFmtId="11" fontId="111" fillId="0" borderId="0" xfId="0" applyNumberFormat="1" applyFont="1" applyFill="1" applyBorder="1" applyAlignment="1">
      <alignment horizontal="center" vertical="center"/>
    </xf>
    <xf numFmtId="0" fontId="111" fillId="0" borderId="0" xfId="0" applyFont="1" applyFill="1" applyBorder="1" applyAlignment="1">
      <alignment vertical="center"/>
    </xf>
    <xf numFmtId="0" fontId="39" fillId="0" borderId="0" xfId="0" applyFont="1" applyFill="1" applyAlignment="1">
      <alignment horizontal="left" vertical="center"/>
    </xf>
    <xf numFmtId="11" fontId="108" fillId="27" borderId="0" xfId="0" applyNumberFormat="1" applyFont="1" applyFill="1" applyBorder="1" applyAlignment="1">
      <alignment horizontal="center" vertical="center"/>
    </xf>
    <xf numFmtId="2" fontId="110" fillId="26" borderId="0" xfId="0" applyNumberFormat="1" applyFont="1" applyFill="1" applyAlignment="1">
      <alignment horizontal="center" vertical="center"/>
    </xf>
    <xf numFmtId="2" fontId="96" fillId="26" borderId="0" xfId="0" applyNumberFormat="1" applyFont="1" applyFill="1" applyAlignment="1">
      <alignment horizontal="center" vertical="center"/>
    </xf>
    <xf numFmtId="0" fontId="101" fillId="0" borderId="0" xfId="0" applyFont="1" applyFill="1" applyAlignment="1">
      <alignment vertical="center"/>
    </xf>
    <xf numFmtId="0" fontId="108" fillId="0" borderId="0" xfId="0" applyFont="1" applyFill="1" applyAlignment="1">
      <alignment vertical="center"/>
    </xf>
    <xf numFmtId="0" fontId="106" fillId="0" borderId="0" xfId="0" applyFont="1" applyFill="1" applyAlignment="1">
      <alignment vertical="center"/>
    </xf>
    <xf numFmtId="0" fontId="104" fillId="0" borderId="0" xfId="0" applyFont="1" applyFill="1" applyAlignment="1">
      <alignment horizontal="center" vertical="center"/>
    </xf>
    <xf numFmtId="0" fontId="114" fillId="0" borderId="0" xfId="0" applyFont="1" applyFill="1" applyAlignment="1">
      <alignment vertical="center"/>
    </xf>
    <xf numFmtId="0" fontId="114" fillId="0" borderId="0" xfId="0" applyFont="1" applyFill="1" applyAlignment="1">
      <alignment horizontal="left" vertical="center"/>
    </xf>
    <xf numFmtId="0" fontId="101" fillId="0" borderId="0" xfId="0" applyFont="1" applyFill="1" applyBorder="1"/>
    <xf numFmtId="2" fontId="101" fillId="26" borderId="0" xfId="0" applyNumberFormat="1" applyFont="1" applyFill="1" applyAlignment="1">
      <alignment horizontal="center" vertical="center"/>
    </xf>
    <xf numFmtId="0" fontId="74" fillId="26" borderId="0" xfId="0" applyFont="1" applyFill="1" applyBorder="1" applyAlignment="1">
      <alignment horizontal="left" vertical="center" indent="1"/>
    </xf>
    <xf numFmtId="0" fontId="104" fillId="0" borderId="0" xfId="0" applyFont="1" applyFill="1" applyAlignment="1">
      <alignment vertical="center"/>
    </xf>
    <xf numFmtId="0" fontId="104" fillId="26" borderId="0" xfId="0" applyFont="1" applyFill="1" applyAlignment="1">
      <alignment vertical="center"/>
    </xf>
    <xf numFmtId="0" fontId="101" fillId="26" borderId="0" xfId="0" applyFont="1" applyFill="1" applyAlignment="1">
      <alignment vertical="center"/>
    </xf>
    <xf numFmtId="11" fontId="106" fillId="26" borderId="0" xfId="0" applyNumberFormat="1" applyFont="1" applyFill="1" applyBorder="1" applyAlignment="1">
      <alignment vertical="center"/>
    </xf>
    <xf numFmtId="0" fontId="39" fillId="26" borderId="0" xfId="0" applyFont="1" applyFill="1" applyAlignment="1">
      <alignment vertical="center"/>
    </xf>
    <xf numFmtId="11" fontId="108" fillId="26" borderId="0" xfId="0" applyNumberFormat="1" applyFont="1" applyFill="1" applyBorder="1" applyAlignment="1">
      <alignment vertical="center"/>
    </xf>
    <xf numFmtId="11" fontId="101" fillId="26" borderId="0" xfId="0" applyNumberFormat="1" applyFont="1" applyFill="1" applyBorder="1" applyAlignment="1">
      <alignment vertical="center"/>
    </xf>
    <xf numFmtId="0" fontId="132" fillId="26" borderId="0" xfId="0" applyFont="1" applyFill="1" applyBorder="1" applyAlignment="1">
      <alignment horizontal="left" vertical="center"/>
    </xf>
    <xf numFmtId="0" fontId="39" fillId="26" borderId="0" xfId="0" applyFont="1" applyFill="1" applyBorder="1" applyAlignment="1">
      <alignment horizontal="center" vertical="center"/>
    </xf>
    <xf numFmtId="0" fontId="111" fillId="26" borderId="0" xfId="0" applyFont="1" applyFill="1" applyBorder="1" applyAlignment="1">
      <alignment vertical="center"/>
    </xf>
    <xf numFmtId="11" fontId="111" fillId="26" borderId="0" xfId="0" applyNumberFormat="1" applyFont="1" applyFill="1" applyBorder="1" applyAlignment="1">
      <alignment horizontal="center" vertical="center"/>
    </xf>
    <xf numFmtId="0" fontId="114" fillId="26" borderId="0" xfId="0" applyFont="1" applyFill="1" applyBorder="1" applyAlignment="1">
      <alignment horizontal="center" vertical="center"/>
    </xf>
    <xf numFmtId="0" fontId="74" fillId="26" borderId="0" xfId="0" applyFont="1" applyFill="1" applyBorder="1" applyAlignment="1">
      <alignment horizontal="right" vertical="center" wrapText="1" indent="1"/>
    </xf>
    <xf numFmtId="2" fontId="134" fillId="26" borderId="0" xfId="0" applyNumberFormat="1" applyFont="1" applyFill="1" applyAlignment="1">
      <alignment horizontal="center" vertical="center"/>
    </xf>
    <xf numFmtId="2" fontId="97" fillId="26" borderId="0" xfId="0" applyNumberFormat="1" applyFont="1" applyFill="1" applyAlignment="1">
      <alignment horizontal="center" vertical="center"/>
    </xf>
    <xf numFmtId="2" fontId="97" fillId="26" borderId="0" xfId="1" applyNumberFormat="1" applyFont="1" applyFill="1" applyAlignment="1">
      <alignment horizontal="center" vertical="center"/>
    </xf>
    <xf numFmtId="9" fontId="96" fillId="26" borderId="0" xfId="0" applyNumberFormat="1" applyFont="1" applyFill="1" applyAlignment="1">
      <alignment horizontal="center" vertical="center"/>
    </xf>
    <xf numFmtId="4" fontId="96" fillId="26" borderId="0" xfId="0" applyNumberFormat="1" applyFont="1" applyFill="1" applyAlignment="1">
      <alignment horizontal="center" vertical="center"/>
    </xf>
    <xf numFmtId="4" fontId="110" fillId="26" borderId="0" xfId="0" applyNumberFormat="1" applyFont="1" applyFill="1" applyAlignment="1">
      <alignment horizontal="center" vertical="center"/>
    </xf>
    <xf numFmtId="182" fontId="101" fillId="26" borderId="0" xfId="0" applyNumberFormat="1" applyFont="1" applyFill="1" applyAlignment="1">
      <alignment horizontal="center" vertical="center"/>
    </xf>
    <xf numFmtId="0" fontId="135" fillId="26" borderId="0" xfId="0" applyFont="1" applyFill="1" applyAlignment="1">
      <alignment horizontal="center" vertical="center"/>
    </xf>
    <xf numFmtId="0" fontId="39" fillId="26" borderId="0" xfId="0" applyFont="1" applyFill="1" applyAlignment="1">
      <alignment horizontal="center" vertical="center"/>
    </xf>
    <xf numFmtId="11" fontId="108" fillId="14" borderId="21" xfId="0" applyNumberFormat="1" applyFont="1" applyFill="1" applyBorder="1" applyAlignment="1">
      <alignment vertical="center"/>
    </xf>
    <xf numFmtId="0" fontId="132" fillId="26" borderId="21" xfId="0" applyFont="1" applyFill="1" applyBorder="1" applyAlignment="1">
      <alignment horizontal="left" vertical="center"/>
    </xf>
    <xf numFmtId="11" fontId="108" fillId="27" borderId="21" xfId="0" applyNumberFormat="1" applyFont="1" applyFill="1" applyBorder="1" applyAlignment="1">
      <alignment horizontal="center" vertical="center"/>
    </xf>
    <xf numFmtId="0" fontId="74" fillId="26" borderId="21" xfId="0" applyFont="1" applyFill="1" applyBorder="1" applyAlignment="1">
      <alignment horizontal="right" vertical="center" wrapText="1" indent="1"/>
    </xf>
    <xf numFmtId="0" fontId="39" fillId="26" borderId="21" xfId="0" applyFont="1" applyFill="1" applyBorder="1" applyAlignment="1">
      <alignment vertical="center"/>
    </xf>
    <xf numFmtId="4" fontId="96" fillId="26" borderId="21" xfId="0" applyNumberFormat="1" applyFont="1" applyFill="1" applyBorder="1" applyAlignment="1">
      <alignment horizontal="center" vertical="center"/>
    </xf>
    <xf numFmtId="4" fontId="110" fillId="26" borderId="21" xfId="0" applyNumberFormat="1" applyFont="1" applyFill="1" applyBorder="1" applyAlignment="1">
      <alignment horizontal="center" vertical="center"/>
    </xf>
    <xf numFmtId="182" fontId="101" fillId="26" borderId="21" xfId="0" applyNumberFormat="1" applyFont="1" applyFill="1" applyBorder="1" applyAlignment="1">
      <alignment horizontal="center" vertical="center"/>
    </xf>
    <xf numFmtId="0" fontId="39" fillId="26" borderId="21" xfId="0" applyFont="1" applyFill="1" applyBorder="1" applyAlignment="1">
      <alignment horizontal="center" vertical="center"/>
    </xf>
    <xf numFmtId="0" fontId="106" fillId="34" borderId="0" xfId="0" applyFont="1" applyFill="1" applyAlignment="1">
      <alignment horizontal="left" vertical="center"/>
    </xf>
    <xf numFmtId="0" fontId="111" fillId="34" borderId="0" xfId="0" applyFont="1" applyFill="1" applyBorder="1" applyAlignment="1">
      <alignment vertical="center"/>
    </xf>
    <xf numFmtId="0" fontId="106" fillId="34" borderId="21" xfId="0" applyFont="1" applyFill="1" applyBorder="1" applyAlignment="1">
      <alignment horizontal="left" vertical="center"/>
    </xf>
    <xf numFmtId="2" fontId="110" fillId="26" borderId="21" xfId="0" applyNumberFormat="1" applyFont="1" applyFill="1" applyBorder="1" applyAlignment="1">
      <alignment horizontal="center" vertical="center"/>
    </xf>
    <xf numFmtId="2" fontId="96" fillId="26" borderId="21" xfId="0" applyNumberFormat="1" applyFont="1" applyFill="1" applyBorder="1" applyAlignment="1">
      <alignment horizontal="center" vertical="center"/>
    </xf>
    <xf numFmtId="0" fontId="111" fillId="34" borderId="21" xfId="0" applyFont="1" applyFill="1" applyBorder="1" applyAlignment="1">
      <alignment vertical="center"/>
    </xf>
    <xf numFmtId="0" fontId="137" fillId="0" borderId="0" xfId="0" applyFont="1" applyFill="1" applyAlignment="1">
      <alignment horizontal="center" vertical="center"/>
    </xf>
    <xf numFmtId="0" fontId="137" fillId="0" borderId="0" xfId="0" applyFont="1" applyFill="1" applyAlignment="1">
      <alignment vertical="center"/>
    </xf>
    <xf numFmtId="0" fontId="112" fillId="26" borderId="0" xfId="0" applyFont="1" applyFill="1" applyBorder="1" applyAlignment="1">
      <alignment horizontal="right" vertical="center" wrapText="1" indent="1"/>
    </xf>
    <xf numFmtId="0" fontId="108" fillId="14" borderId="0" xfId="0" applyFont="1" applyFill="1" applyBorder="1" applyAlignment="1">
      <alignment vertical="center"/>
    </xf>
    <xf numFmtId="11" fontId="101" fillId="26" borderId="22" xfId="0" applyNumberFormat="1" applyFont="1" applyFill="1" applyBorder="1" applyAlignment="1">
      <alignment vertical="center"/>
    </xf>
    <xf numFmtId="0" fontId="0" fillId="0" borderId="0" xfId="0" applyBorder="1"/>
    <xf numFmtId="0" fontId="138" fillId="0" borderId="0" xfId="0" applyFont="1"/>
    <xf numFmtId="0" fontId="78" fillId="19" borderId="0" xfId="0" applyFont="1" applyFill="1" applyAlignment="1">
      <alignment horizontal="center" vertical="center"/>
    </xf>
    <xf numFmtId="0" fontId="139" fillId="0" borderId="0" xfId="0" applyFont="1"/>
    <xf numFmtId="0" fontId="0" fillId="17" borderId="23" xfId="0" applyFill="1" applyBorder="1"/>
    <xf numFmtId="0" fontId="0" fillId="17" borderId="24" xfId="0" applyFill="1" applyBorder="1"/>
    <xf numFmtId="0" fontId="0" fillId="17" borderId="25" xfId="0" applyFill="1" applyBorder="1"/>
    <xf numFmtId="0" fontId="0" fillId="17" borderId="23" xfId="0" applyFont="1" applyFill="1" applyBorder="1"/>
    <xf numFmtId="0" fontId="78" fillId="19" borderId="0" xfId="0" applyFont="1" applyFill="1" applyAlignment="1">
      <alignment horizontal="center" vertical="center"/>
    </xf>
    <xf numFmtId="0" fontId="65" fillId="19" borderId="0" xfId="0" applyFont="1" applyFill="1" applyBorder="1" applyAlignment="1">
      <alignment horizontal="right" vertical="center" wrapText="1"/>
    </xf>
    <xf numFmtId="0" fontId="108" fillId="22" borderId="0" xfId="0" applyFont="1" applyFill="1" applyBorder="1" applyAlignment="1">
      <alignment horizontal="center" vertical="center"/>
    </xf>
    <xf numFmtId="0" fontId="100" fillId="18" borderId="0" xfId="0" applyFont="1" applyFill="1" applyBorder="1" applyAlignment="1">
      <alignment horizontal="left" vertical="center" wrapText="1"/>
    </xf>
    <xf numFmtId="0" fontId="78" fillId="19" borderId="0" xfId="0" applyFont="1" applyFill="1" applyAlignment="1">
      <alignment horizontal="center" vertical="center"/>
    </xf>
    <xf numFmtId="0" fontId="108" fillId="22" borderId="0" xfId="0" applyFont="1" applyFill="1" applyBorder="1" applyAlignment="1">
      <alignment horizontal="center" vertical="center"/>
    </xf>
    <xf numFmtId="0" fontId="0" fillId="0" borderId="0" xfId="0" applyFont="1" applyFill="1" applyAlignment="1">
      <alignment horizontal="center"/>
    </xf>
    <xf numFmtId="0" fontId="100" fillId="18" borderId="0" xfId="0" applyFont="1" applyFill="1" applyBorder="1" applyAlignment="1">
      <alignment horizontal="left" vertical="center" wrapText="1"/>
    </xf>
    <xf numFmtId="0" fontId="100" fillId="18" borderId="0" xfId="0" applyFont="1" applyFill="1" applyBorder="1" applyAlignment="1">
      <alignment horizontal="center" vertical="center" wrapText="1"/>
    </xf>
    <xf numFmtId="0" fontId="0" fillId="0" borderId="0" xfId="0" applyFont="1" applyFill="1" applyAlignment="1">
      <alignment horizontal="center"/>
    </xf>
    <xf numFmtId="0" fontId="74" fillId="0" borderId="0" xfId="0" applyFont="1" applyFill="1" applyBorder="1" applyAlignment="1">
      <alignment horizontal="left" vertical="center"/>
    </xf>
    <xf numFmtId="4" fontId="101" fillId="0" borderId="0" xfId="0" applyNumberFormat="1" applyFont="1" applyFill="1" applyBorder="1" applyAlignment="1">
      <alignment horizontal="center" vertical="center"/>
    </xf>
    <xf numFmtId="0" fontId="78" fillId="19" borderId="0" xfId="0" applyFont="1" applyFill="1" applyAlignment="1">
      <alignment horizontal="center" vertical="center"/>
    </xf>
    <xf numFmtId="0" fontId="108" fillId="22" borderId="0" xfId="0" applyFont="1" applyFill="1" applyBorder="1" applyAlignment="1">
      <alignment horizontal="center" vertical="center"/>
    </xf>
    <xf numFmtId="0" fontId="0" fillId="0" borderId="0" xfId="0" applyFont="1" applyFill="1" applyAlignment="1">
      <alignment horizontal="center"/>
    </xf>
    <xf numFmtId="9" fontId="96" fillId="17" borderId="0" xfId="1" applyFont="1" applyFill="1" applyBorder="1" applyAlignment="1">
      <alignment horizontal="center" vertical="center"/>
    </xf>
    <xf numFmtId="180" fontId="110" fillId="17" borderId="0" xfId="0" applyNumberFormat="1" applyFont="1" applyFill="1" applyBorder="1" applyAlignment="1">
      <alignment horizontal="center" vertical="center"/>
    </xf>
    <xf numFmtId="168" fontId="96" fillId="17" borderId="0" xfId="0" applyNumberFormat="1" applyFont="1" applyFill="1" applyBorder="1" applyAlignment="1">
      <alignment horizontal="center" vertical="center"/>
    </xf>
    <xf numFmtId="168" fontId="110" fillId="17" borderId="0" xfId="0" applyNumberFormat="1" applyFont="1" applyFill="1" applyBorder="1" applyAlignment="1">
      <alignment horizontal="center" vertical="center"/>
    </xf>
    <xf numFmtId="0" fontId="0" fillId="0" borderId="0" xfId="0" applyFont="1" applyFill="1" applyAlignment="1"/>
    <xf numFmtId="0" fontId="68" fillId="0" borderId="0" xfId="0" applyFont="1" applyFill="1" applyBorder="1" applyAlignment="1">
      <alignment horizontal="right" vertical="center"/>
    </xf>
    <xf numFmtId="0" fontId="61" fillId="0" borderId="0" xfId="0" applyFont="1" applyFill="1" applyBorder="1" applyAlignment="1">
      <alignment horizontal="right" vertical="center" indent="1"/>
    </xf>
    <xf numFmtId="0" fontId="39" fillId="0" borderId="0" xfId="0" applyFont="1" applyFill="1" applyBorder="1" applyAlignment="1">
      <alignment horizontal="right" vertical="center" indent="1"/>
    </xf>
    <xf numFmtId="0" fontId="61" fillId="0" borderId="0" xfId="0" applyFont="1" applyFill="1" applyBorder="1" applyAlignment="1">
      <alignment horizontal="left" vertical="center" indent="1"/>
    </xf>
    <xf numFmtId="0" fontId="58" fillId="0" borderId="0" xfId="0" applyFont="1" applyFill="1" applyBorder="1" applyAlignment="1">
      <alignment horizontal="center" vertical="center"/>
    </xf>
    <xf numFmtId="0" fontId="62" fillId="0" borderId="0" xfId="0" applyFont="1" applyFill="1" applyBorder="1" applyAlignment="1">
      <alignment horizontal="right" vertical="center" indent="1"/>
    </xf>
    <xf numFmtId="0" fontId="62" fillId="0" borderId="0" xfId="0" applyFont="1" applyFill="1" applyBorder="1" applyAlignment="1">
      <alignment horizontal="left" vertical="center" indent="1"/>
    </xf>
    <xf numFmtId="0" fontId="61" fillId="0" borderId="0" xfId="0" applyFont="1" applyFill="1" applyBorder="1" applyAlignment="1">
      <alignment horizontal="right" vertical="center" wrapText="1" indent="1"/>
    </xf>
    <xf numFmtId="0" fontId="75" fillId="0" borderId="0" xfId="0" applyFont="1" applyFill="1" applyBorder="1" applyAlignment="1">
      <alignment vertical="center"/>
    </xf>
    <xf numFmtId="0" fontId="66" fillId="0" borderId="0" xfId="0" applyFont="1" applyFill="1" applyBorder="1" applyAlignment="1">
      <alignment vertical="center"/>
    </xf>
    <xf numFmtId="0" fontId="69" fillId="0" borderId="0" xfId="0" applyFont="1" applyFill="1" applyBorder="1" applyAlignment="1">
      <alignment vertical="center"/>
    </xf>
    <xf numFmtId="0" fontId="78" fillId="0" borderId="0" xfId="0" applyFont="1" applyFill="1" applyBorder="1" applyAlignment="1">
      <alignment horizontal="center" vertical="center"/>
    </xf>
    <xf numFmtId="0" fontId="78" fillId="0" borderId="0" xfId="78" applyFont="1" applyFill="1" applyBorder="1" applyAlignment="1">
      <alignment horizontal="center" vertical="center"/>
    </xf>
    <xf numFmtId="180" fontId="70" fillId="0" borderId="0" xfId="0" applyNumberFormat="1" applyFont="1" applyFill="1" applyBorder="1" applyAlignment="1">
      <alignment horizontal="center" vertical="center"/>
    </xf>
    <xf numFmtId="2" fontId="70" fillId="0" borderId="0" xfId="0" applyNumberFormat="1" applyFont="1" applyFill="1" applyBorder="1" applyAlignment="1">
      <alignment horizontal="center" vertical="center"/>
    </xf>
    <xf numFmtId="4" fontId="70" fillId="0" borderId="0" xfId="0" applyNumberFormat="1" applyFont="1" applyFill="1" applyBorder="1" applyAlignment="1">
      <alignment horizontal="center" vertical="center"/>
    </xf>
    <xf numFmtId="4" fontId="41" fillId="0" borderId="0" xfId="1" applyNumberFormat="1" applyFont="1" applyFill="1" applyBorder="1" applyAlignment="1">
      <alignment horizontal="center" vertical="center"/>
    </xf>
    <xf numFmtId="169" fontId="70" fillId="0" borderId="0" xfId="1" applyNumberFormat="1" applyFont="1" applyFill="1" applyBorder="1" applyAlignment="1">
      <alignment horizontal="center" vertical="center"/>
    </xf>
    <xf numFmtId="0" fontId="70" fillId="0" borderId="0" xfId="0" applyFont="1" applyFill="1" applyBorder="1"/>
    <xf numFmtId="0" fontId="78" fillId="19" borderId="0" xfId="0" applyFont="1" applyFill="1" applyAlignment="1">
      <alignment horizontal="center" vertical="center"/>
    </xf>
    <xf numFmtId="0" fontId="108" fillId="22" borderId="0" xfId="0" applyFont="1" applyFill="1" applyBorder="1" applyAlignment="1">
      <alignment horizontal="center" vertical="center"/>
    </xf>
    <xf numFmtId="0" fontId="51" fillId="0" borderId="0" xfId="0" applyFont="1" applyFill="1" applyAlignment="1">
      <alignment horizontal="center" vertical="center"/>
    </xf>
    <xf numFmtId="0" fontId="28" fillId="0" borderId="0" xfId="0" applyFont="1" applyFill="1" applyAlignment="1">
      <alignment horizontal="center" vertical="center"/>
    </xf>
    <xf numFmtId="0" fontId="30" fillId="0" borderId="0" xfId="78" applyFont="1" applyFill="1" applyAlignment="1">
      <alignment horizontal="center" vertical="center"/>
    </xf>
    <xf numFmtId="0" fontId="2" fillId="0" borderId="0" xfId="0" applyFont="1" applyFill="1"/>
    <xf numFmtId="0" fontId="56" fillId="0" borderId="0" xfId="0" applyFont="1" applyFill="1" applyAlignment="1">
      <alignment horizontal="center" vertical="center"/>
    </xf>
    <xf numFmtId="0" fontId="140" fillId="0" borderId="0" xfId="0" applyFont="1" applyFill="1" applyAlignment="1">
      <alignment horizontal="center" vertical="center"/>
    </xf>
    <xf numFmtId="168" fontId="30" fillId="22" borderId="0" xfId="1" applyNumberFormat="1" applyFont="1" applyFill="1" applyBorder="1" applyAlignment="1">
      <alignment horizontal="center" vertical="center"/>
    </xf>
    <xf numFmtId="4" fontId="70" fillId="9" borderId="9" xfId="0" applyNumberFormat="1" applyFont="1" applyFill="1" applyBorder="1" applyAlignment="1">
      <alignment horizontal="center" vertical="center"/>
    </xf>
    <xf numFmtId="4" fontId="116" fillId="9" borderId="9" xfId="0" applyNumberFormat="1" applyFont="1" applyFill="1" applyBorder="1" applyAlignment="1">
      <alignment horizontal="center" vertical="center"/>
    </xf>
    <xf numFmtId="0" fontId="108" fillId="0" borderId="0" xfId="0" applyFont="1" applyFill="1" applyBorder="1" applyAlignment="1">
      <alignment horizontal="center" vertical="center"/>
    </xf>
    <xf numFmtId="168" fontId="47" fillId="0" borderId="0" xfId="0" applyNumberFormat="1" applyFont="1" applyFill="1" applyBorder="1" applyAlignment="1">
      <alignment horizontal="center" vertical="center"/>
    </xf>
    <xf numFmtId="169" fontId="96" fillId="0" borderId="0" xfId="1" applyNumberFormat="1" applyFont="1" applyFill="1" applyBorder="1" applyAlignment="1">
      <alignment horizontal="center" vertical="center"/>
    </xf>
    <xf numFmtId="1" fontId="39" fillId="0" borderId="0" xfId="0" applyNumberFormat="1" applyFont="1" applyFill="1" applyBorder="1" applyAlignment="1">
      <alignment horizontal="center" vertical="center"/>
    </xf>
    <xf numFmtId="11" fontId="39" fillId="0" borderId="0" xfId="0" applyNumberFormat="1" applyFont="1" applyFill="1" applyBorder="1" applyAlignment="1">
      <alignment horizontal="center" vertical="center"/>
    </xf>
    <xf numFmtId="171" fontId="39" fillId="0" borderId="0" xfId="0" applyNumberFormat="1" applyFont="1" applyFill="1" applyBorder="1" applyAlignment="1">
      <alignment horizontal="center" vertical="center"/>
    </xf>
    <xf numFmtId="1" fontId="111" fillId="0" borderId="0" xfId="0" applyNumberFormat="1" applyFont="1" applyFill="1" applyBorder="1" applyAlignment="1">
      <alignment horizontal="center" vertical="center"/>
    </xf>
    <xf numFmtId="3" fontId="96" fillId="0" borderId="0" xfId="0" applyNumberFormat="1" applyFont="1" applyFill="1" applyBorder="1" applyAlignment="1">
      <alignment horizontal="center" vertical="center"/>
    </xf>
    <xf numFmtId="1" fontId="96" fillId="0" borderId="0" xfId="0" applyNumberFormat="1" applyFont="1" applyFill="1" applyAlignment="1">
      <alignment horizontal="center" vertical="center"/>
    </xf>
    <xf numFmtId="180" fontId="111" fillId="0" borderId="0" xfId="0" applyNumberFormat="1" applyFont="1" applyFill="1" applyBorder="1" applyAlignment="1">
      <alignment horizontal="center" vertical="center"/>
    </xf>
    <xf numFmtId="3" fontId="39" fillId="0" borderId="0" xfId="0" applyNumberFormat="1" applyFont="1" applyFill="1" applyBorder="1" applyAlignment="1">
      <alignment vertical="center"/>
    </xf>
    <xf numFmtId="3" fontId="110" fillId="0" borderId="0" xfId="0" applyNumberFormat="1" applyFont="1" applyFill="1" applyBorder="1" applyAlignment="1">
      <alignment horizontal="center" vertical="center"/>
    </xf>
    <xf numFmtId="180" fontId="96" fillId="0" borderId="0" xfId="0" applyNumberFormat="1" applyFont="1" applyFill="1" applyBorder="1" applyAlignment="1">
      <alignment horizontal="center" vertical="center"/>
    </xf>
    <xf numFmtId="3" fontId="101" fillId="0" borderId="0" xfId="0" applyNumberFormat="1" applyFont="1" applyFill="1" applyBorder="1" applyAlignment="1">
      <alignment horizontal="center" vertical="center"/>
    </xf>
    <xf numFmtId="180" fontId="108" fillId="0" borderId="0" xfId="0" applyNumberFormat="1" applyFont="1" applyFill="1" applyBorder="1" applyAlignment="1">
      <alignment horizontal="center" vertical="center"/>
    </xf>
    <xf numFmtId="4" fontId="96" fillId="0" borderId="0" xfId="0" applyNumberFormat="1" applyFont="1" applyFill="1" applyBorder="1" applyAlignment="1">
      <alignment horizontal="center" vertical="center"/>
    </xf>
    <xf numFmtId="11" fontId="106" fillId="0" borderId="0" xfId="0" applyNumberFormat="1" applyFont="1" applyFill="1" applyAlignment="1">
      <alignment horizontal="center" vertical="center"/>
    </xf>
    <xf numFmtId="0" fontId="74" fillId="0" borderId="0" xfId="0" applyFont="1" applyFill="1" applyBorder="1" applyAlignment="1">
      <alignment vertical="center"/>
    </xf>
    <xf numFmtId="4" fontId="110" fillId="0" borderId="0" xfId="0" applyNumberFormat="1" applyFont="1" applyFill="1" applyBorder="1" applyAlignment="1">
      <alignment horizontal="center" vertical="center"/>
    </xf>
    <xf numFmtId="4" fontId="108" fillId="0" borderId="0" xfId="0" applyNumberFormat="1" applyFont="1" applyFill="1" applyBorder="1" applyAlignment="1">
      <alignment horizontal="center" vertical="center"/>
    </xf>
    <xf numFmtId="169" fontId="96" fillId="19" borderId="0" xfId="1" applyNumberFormat="1" applyFont="1" applyFill="1" applyBorder="1" applyAlignment="1">
      <alignment horizontal="center" vertical="center"/>
    </xf>
    <xf numFmtId="3" fontId="96" fillId="19" borderId="0" xfId="0" applyNumberFormat="1" applyFont="1" applyFill="1" applyBorder="1" applyAlignment="1">
      <alignment horizontal="center" vertical="center"/>
    </xf>
    <xf numFmtId="180" fontId="96" fillId="19" borderId="0" xfId="0" applyNumberFormat="1" applyFont="1" applyFill="1" applyBorder="1" applyAlignment="1">
      <alignment horizontal="center" vertical="center"/>
    </xf>
    <xf numFmtId="2" fontId="101" fillId="19" borderId="0" xfId="0" applyNumberFormat="1" applyFont="1" applyFill="1" applyBorder="1" applyAlignment="1">
      <alignment horizontal="center" vertical="center"/>
    </xf>
    <xf numFmtId="4" fontId="96" fillId="19" borderId="0" xfId="0" applyNumberFormat="1" applyFont="1" applyFill="1" applyBorder="1" applyAlignment="1">
      <alignment horizontal="center" vertical="center"/>
    </xf>
    <xf numFmtId="4" fontId="101" fillId="19" borderId="0" xfId="0" applyNumberFormat="1" applyFont="1" applyFill="1" applyBorder="1" applyAlignment="1">
      <alignment horizontal="center" vertical="center"/>
    </xf>
    <xf numFmtId="4" fontId="110" fillId="19" borderId="0" xfId="0" applyNumberFormat="1" applyFont="1" applyFill="1" applyBorder="1" applyAlignment="1">
      <alignment horizontal="center" vertical="center"/>
    </xf>
    <xf numFmtId="180" fontId="106" fillId="0" borderId="0" xfId="0" applyNumberFormat="1" applyFont="1" applyFill="1" applyBorder="1" applyAlignment="1">
      <alignment horizontal="center" vertical="center"/>
    </xf>
    <xf numFmtId="0" fontId="101" fillId="19" borderId="0" xfId="0" applyFont="1" applyFill="1" applyBorder="1" applyAlignment="1">
      <alignment horizontal="left" vertical="center" indent="1"/>
    </xf>
    <xf numFmtId="168" fontId="62" fillId="19" borderId="0" xfId="0" applyNumberFormat="1" applyFont="1" applyFill="1" applyBorder="1" applyAlignment="1">
      <alignment horizontal="center" vertical="center"/>
    </xf>
    <xf numFmtId="0" fontId="61" fillId="19" borderId="0" xfId="0" applyFont="1" applyFill="1" applyBorder="1" applyAlignment="1">
      <alignment horizontal="center" vertical="center" wrapText="1"/>
    </xf>
    <xf numFmtId="180" fontId="39" fillId="0" borderId="0" xfId="0" applyNumberFormat="1" applyFont="1" applyFill="1" applyBorder="1" applyAlignment="1">
      <alignment horizontal="center" vertical="center"/>
    </xf>
    <xf numFmtId="11" fontId="3" fillId="0" borderId="0" xfId="0" applyNumberFormat="1" applyFont="1" applyFill="1" applyAlignment="1">
      <alignment horizontal="center" vertical="center"/>
    </xf>
    <xf numFmtId="180" fontId="101" fillId="19" borderId="0" xfId="0" applyNumberFormat="1" applyFont="1" applyFill="1" applyBorder="1" applyAlignment="1">
      <alignment horizontal="center" vertical="center"/>
    </xf>
    <xf numFmtId="0" fontId="78" fillId="0" borderId="0" xfId="0" applyFont="1" applyFill="1" applyBorder="1" applyAlignment="1">
      <alignment horizontal="left" vertical="center" indent="1"/>
    </xf>
    <xf numFmtId="2" fontId="96" fillId="0" borderId="0" xfId="0" applyNumberFormat="1" applyFont="1" applyFill="1" applyBorder="1" applyAlignment="1">
      <alignment horizontal="center" vertical="center"/>
    </xf>
    <xf numFmtId="2" fontId="96" fillId="19" borderId="0" xfId="0" applyNumberFormat="1" applyFont="1" applyFill="1" applyBorder="1" applyAlignment="1">
      <alignment horizontal="center" vertical="center"/>
    </xf>
    <xf numFmtId="168" fontId="77" fillId="0" borderId="16" xfId="0" applyNumberFormat="1" applyFont="1" applyFill="1" applyBorder="1" applyAlignment="1">
      <alignment horizontal="center" vertical="center"/>
    </xf>
    <xf numFmtId="4" fontId="120" fillId="19" borderId="0" xfId="0" applyNumberFormat="1" applyFont="1" applyFill="1" applyBorder="1" applyAlignment="1">
      <alignment horizontal="center" vertical="center"/>
    </xf>
    <xf numFmtId="4" fontId="101" fillId="35" borderId="0" xfId="0" applyNumberFormat="1" applyFont="1" applyFill="1" applyBorder="1" applyAlignment="1">
      <alignment horizontal="center" vertical="center"/>
    </xf>
    <xf numFmtId="0" fontId="70" fillId="0" borderId="0" xfId="0" applyFont="1" applyFill="1" applyAlignment="1"/>
    <xf numFmtId="0" fontId="142" fillId="23" borderId="0" xfId="0" applyFont="1" applyFill="1" applyAlignment="1">
      <alignment vertical="center"/>
    </xf>
    <xf numFmtId="168" fontId="70" fillId="0" borderId="0" xfId="0" applyNumberFormat="1" applyFont="1" applyFill="1" applyBorder="1"/>
    <xf numFmtId="0" fontId="70" fillId="9" borderId="0" xfId="0" applyFont="1" applyFill="1"/>
    <xf numFmtId="168" fontId="70" fillId="0" borderId="0" xfId="0" applyNumberFormat="1" applyFont="1" applyFill="1"/>
    <xf numFmtId="4" fontId="101" fillId="36" borderId="0" xfId="0" applyNumberFormat="1" applyFont="1" applyFill="1" applyBorder="1" applyAlignment="1">
      <alignment horizontal="center" vertical="center"/>
    </xf>
    <xf numFmtId="0" fontId="61" fillId="0" borderId="9" xfId="0" applyFont="1" applyFill="1" applyBorder="1" applyAlignment="1" applyProtection="1">
      <alignment horizontal="center" vertical="center"/>
      <protection locked="0"/>
    </xf>
    <xf numFmtId="3" fontId="74" fillId="0" borderId="9" xfId="0" applyNumberFormat="1" applyFont="1" applyFill="1" applyBorder="1" applyAlignment="1" applyProtection="1">
      <alignment horizontal="center" vertical="center"/>
      <protection locked="0"/>
    </xf>
    <xf numFmtId="3" fontId="61" fillId="0" borderId="9" xfId="0" applyNumberFormat="1" applyFont="1" applyFill="1" applyBorder="1" applyAlignment="1" applyProtection="1">
      <alignment horizontal="center" vertical="center"/>
      <protection locked="0"/>
    </xf>
    <xf numFmtId="9" fontId="61" fillId="9" borderId="9" xfId="1" applyFont="1" applyFill="1" applyBorder="1" applyAlignment="1" applyProtection="1">
      <alignment horizontal="center" vertical="center"/>
      <protection locked="0"/>
    </xf>
    <xf numFmtId="4" fontId="101" fillId="0" borderId="9" xfId="0" applyNumberFormat="1" applyFont="1" applyFill="1" applyBorder="1" applyAlignment="1" applyProtection="1">
      <alignment horizontal="center" vertical="center"/>
      <protection locked="0"/>
    </xf>
    <xf numFmtId="0" fontId="101" fillId="0" borderId="9" xfId="0" applyFont="1" applyFill="1" applyBorder="1" applyAlignment="1" applyProtection="1">
      <alignment horizontal="center" vertical="center"/>
      <protection locked="0"/>
    </xf>
    <xf numFmtId="168" fontId="101" fillId="0" borderId="9" xfId="0" applyNumberFormat="1" applyFont="1" applyFill="1" applyBorder="1" applyAlignment="1" applyProtection="1">
      <alignment horizontal="center" vertical="center"/>
      <protection locked="0"/>
    </xf>
    <xf numFmtId="4" fontId="61" fillId="0" borderId="9" xfId="0" applyNumberFormat="1" applyFont="1" applyFill="1" applyBorder="1" applyAlignment="1" applyProtection="1">
      <alignment horizontal="center" vertical="center"/>
      <protection locked="0"/>
    </xf>
    <xf numFmtId="168" fontId="61" fillId="0" borderId="9" xfId="0" applyNumberFormat="1" applyFont="1" applyFill="1" applyBorder="1" applyAlignment="1" applyProtection="1">
      <alignment horizontal="center" vertical="center"/>
      <protection locked="0"/>
    </xf>
    <xf numFmtId="169" fontId="61" fillId="0" borderId="9" xfId="0" applyNumberFormat="1" applyFont="1" applyFill="1" applyBorder="1" applyAlignment="1" applyProtection="1">
      <alignment horizontal="center" vertical="center"/>
      <protection locked="0"/>
    </xf>
    <xf numFmtId="4" fontId="61" fillId="9" borderId="9" xfId="0" applyNumberFormat="1" applyFont="1" applyFill="1" applyBorder="1" applyAlignment="1" applyProtection="1">
      <alignment horizontal="center" vertical="center"/>
      <protection locked="0"/>
    </xf>
    <xf numFmtId="180" fontId="61" fillId="0" borderId="9" xfId="0" applyNumberFormat="1" applyFont="1" applyFill="1" applyBorder="1" applyAlignment="1" applyProtection="1">
      <alignment horizontal="center" vertical="center"/>
      <protection locked="0"/>
    </xf>
    <xf numFmtId="4" fontId="62" fillId="0" borderId="9" xfId="1" applyNumberFormat="1" applyFont="1" applyFill="1" applyBorder="1" applyAlignment="1" applyProtection="1">
      <alignment horizontal="center" vertical="center"/>
      <protection locked="0"/>
    </xf>
    <xf numFmtId="4" fontId="62" fillId="9" borderId="9" xfId="1" applyNumberFormat="1" applyFont="1" applyFill="1" applyBorder="1" applyAlignment="1" applyProtection="1">
      <alignment horizontal="center" vertical="center"/>
      <protection locked="0"/>
    </xf>
    <xf numFmtId="169" fontId="62" fillId="0" borderId="9" xfId="1" applyNumberFormat="1" applyFont="1" applyFill="1" applyBorder="1" applyAlignment="1" applyProtection="1">
      <alignment horizontal="center" vertical="center"/>
      <protection locked="0"/>
    </xf>
    <xf numFmtId="4" fontId="74" fillId="0" borderId="9" xfId="0" applyNumberFormat="1" applyFont="1" applyFill="1" applyBorder="1" applyAlignment="1" applyProtection="1">
      <alignment horizontal="center" vertical="center"/>
      <protection locked="0"/>
    </xf>
    <xf numFmtId="9" fontId="62" fillId="0" borderId="9" xfId="1" applyNumberFormat="1" applyFont="1" applyFill="1" applyBorder="1" applyAlignment="1" applyProtection="1">
      <alignment horizontal="center" vertical="center"/>
      <protection locked="0"/>
    </xf>
    <xf numFmtId="2" fontId="62" fillId="9" borderId="9" xfId="0" applyNumberFormat="1" applyFont="1" applyFill="1" applyBorder="1" applyAlignment="1" applyProtection="1">
      <alignment horizontal="center" vertical="center"/>
      <protection locked="0"/>
    </xf>
    <xf numFmtId="4" fontId="61" fillId="19" borderId="0" xfId="0" applyNumberFormat="1" applyFont="1" applyFill="1" applyAlignment="1">
      <alignment horizontal="left" vertical="center"/>
    </xf>
    <xf numFmtId="0" fontId="65" fillId="19" borderId="0" xfId="0" applyFont="1" applyFill="1" applyBorder="1" applyAlignment="1">
      <alignment horizontal="right" vertical="center" wrapText="1"/>
    </xf>
    <xf numFmtId="0" fontId="39" fillId="0" borderId="0" xfId="0" applyFont="1" applyFill="1" applyProtection="1"/>
    <xf numFmtId="0" fontId="61" fillId="0" borderId="11" xfId="0" applyFont="1" applyFill="1" applyBorder="1" applyAlignment="1" applyProtection="1">
      <alignment horizontal="center" vertical="center"/>
    </xf>
    <xf numFmtId="0" fontId="75" fillId="0" borderId="0" xfId="0" applyFont="1" applyFill="1" applyBorder="1" applyAlignment="1" applyProtection="1">
      <alignment vertical="center"/>
    </xf>
    <xf numFmtId="0" fontId="0" fillId="0" borderId="0" xfId="0" applyFill="1" applyAlignment="1" applyProtection="1">
      <alignment vertical="center"/>
    </xf>
    <xf numFmtId="0" fontId="39" fillId="0" borderId="0" xfId="0" applyFont="1" applyFill="1" applyBorder="1" applyProtection="1"/>
    <xf numFmtId="0" fontId="70" fillId="19" borderId="0" xfId="0" applyFont="1" applyFill="1" applyAlignment="1">
      <alignment horizontal="left" vertical="center"/>
    </xf>
    <xf numFmtId="0" fontId="70" fillId="19" borderId="0" xfId="0" applyFont="1" applyFill="1" applyAlignment="1">
      <alignment horizontal="right" vertical="center" indent="1"/>
    </xf>
    <xf numFmtId="0" fontId="70" fillId="19" borderId="0" xfId="0" applyFont="1" applyFill="1" applyBorder="1" applyAlignment="1">
      <alignment horizontal="left" vertical="center" indent="1"/>
    </xf>
    <xf numFmtId="4" fontId="61" fillId="0" borderId="9" xfId="0" applyNumberFormat="1" applyFont="1" applyFill="1" applyBorder="1" applyAlignment="1">
      <alignment horizontal="center" vertical="center"/>
    </xf>
    <xf numFmtId="169" fontId="39" fillId="0" borderId="0" xfId="0" applyNumberFormat="1" applyFont="1" applyFill="1"/>
    <xf numFmtId="0" fontId="118" fillId="19" borderId="0" xfId="0" applyFont="1" applyFill="1" applyAlignment="1">
      <alignment horizontal="left" vertical="center"/>
    </xf>
    <xf numFmtId="0" fontId="101" fillId="19" borderId="0" xfId="0" applyFont="1" applyFill="1" applyAlignment="1">
      <alignment horizontal="left" vertical="center"/>
    </xf>
    <xf numFmtId="2" fontId="74" fillId="0" borderId="9" xfId="0" applyNumberFormat="1" applyFont="1" applyFill="1" applyBorder="1" applyAlignment="1" applyProtection="1">
      <alignment horizontal="center" vertical="center"/>
      <protection locked="0"/>
    </xf>
    <xf numFmtId="2" fontId="61" fillId="19" borderId="0" xfId="0" applyNumberFormat="1" applyFont="1" applyFill="1" applyBorder="1" applyAlignment="1">
      <alignment horizontal="left" vertical="center"/>
    </xf>
    <xf numFmtId="2" fontId="61" fillId="19" borderId="0" xfId="0" applyNumberFormat="1" applyFont="1" applyFill="1" applyAlignment="1">
      <alignment horizontal="right" vertical="center" indent="1"/>
    </xf>
    <xf numFmtId="4" fontId="101" fillId="9" borderId="0" xfId="0" applyNumberFormat="1" applyFont="1" applyFill="1" applyBorder="1" applyAlignment="1" applyProtection="1">
      <alignment horizontal="center" vertical="center"/>
      <protection locked="0"/>
    </xf>
    <xf numFmtId="0" fontId="93" fillId="19" borderId="0" xfId="0" applyFont="1" applyFill="1" applyBorder="1" applyAlignment="1">
      <alignment horizontal="center" vertical="center"/>
    </xf>
    <xf numFmtId="180" fontId="96" fillId="2" borderId="0" xfId="0" applyNumberFormat="1" applyFont="1" applyFill="1" applyBorder="1" applyAlignment="1">
      <alignment horizontal="center" vertical="center"/>
    </xf>
    <xf numFmtId="0" fontId="78" fillId="19" borderId="0" xfId="0" applyFont="1" applyFill="1" applyAlignment="1">
      <alignment horizontal="center" vertical="center"/>
    </xf>
    <xf numFmtId="0" fontId="78" fillId="0" borderId="0" xfId="0" applyFont="1" applyFill="1" applyAlignment="1">
      <alignment horizontal="center" vertical="center"/>
    </xf>
    <xf numFmtId="0" fontId="57" fillId="0" borderId="0" xfId="0" applyFont="1" applyFill="1" applyBorder="1" applyAlignment="1">
      <alignment horizontal="center" vertical="center"/>
    </xf>
    <xf numFmtId="10" fontId="61" fillId="9" borderId="9" xfId="1" applyNumberFormat="1" applyFont="1" applyFill="1" applyBorder="1" applyAlignment="1" applyProtection="1">
      <alignment horizontal="center" vertical="center"/>
      <protection locked="0"/>
    </xf>
    <xf numFmtId="10" fontId="62" fillId="9" borderId="9" xfId="1" applyNumberFormat="1" applyFont="1" applyFill="1" applyBorder="1" applyAlignment="1" applyProtection="1">
      <alignment horizontal="center" vertical="center"/>
      <protection locked="0"/>
    </xf>
    <xf numFmtId="0" fontId="78" fillId="19" borderId="0" xfId="0" applyFont="1" applyFill="1" applyAlignment="1">
      <alignment horizontal="center" vertical="center"/>
    </xf>
    <xf numFmtId="4" fontId="110" fillId="16" borderId="0" xfId="0" applyNumberFormat="1" applyFont="1" applyFill="1" applyBorder="1" applyAlignment="1">
      <alignment horizontal="center" vertical="center"/>
    </xf>
    <xf numFmtId="0" fontId="101" fillId="17" borderId="0" xfId="0" applyFont="1" applyFill="1" applyBorder="1" applyAlignment="1">
      <alignment horizontal="left" vertical="center"/>
    </xf>
    <xf numFmtId="9" fontId="39" fillId="0" borderId="0" xfId="1" applyFont="1" applyFill="1" applyAlignment="1">
      <alignment vertical="center"/>
    </xf>
    <xf numFmtId="9" fontId="39" fillId="0" borderId="0" xfId="1" applyFont="1" applyFill="1" applyAlignment="1">
      <alignment horizontal="center" vertical="center"/>
    </xf>
    <xf numFmtId="9" fontId="110" fillId="16" borderId="0" xfId="1" applyFont="1" applyFill="1" applyBorder="1" applyAlignment="1">
      <alignment horizontal="center" vertical="center"/>
    </xf>
    <xf numFmtId="4" fontId="108" fillId="38" borderId="0" xfId="0" applyNumberFormat="1" applyFont="1" applyFill="1" applyBorder="1" applyAlignment="1">
      <alignment horizontal="center" vertical="center"/>
    </xf>
    <xf numFmtId="2" fontId="111" fillId="0" borderId="0" xfId="0" applyNumberFormat="1" applyFont="1" applyFill="1" applyAlignment="1">
      <alignment horizontal="center" vertical="center"/>
    </xf>
    <xf numFmtId="0" fontId="61" fillId="2" borderId="0" xfId="0" applyFont="1" applyFill="1" applyBorder="1" applyAlignment="1">
      <alignment horizontal="left" vertical="center" indent="1"/>
    </xf>
    <xf numFmtId="2" fontId="101" fillId="2" borderId="0" xfId="0" applyNumberFormat="1" applyFont="1" applyFill="1" applyBorder="1" applyAlignment="1">
      <alignment horizontal="center" vertical="center"/>
    </xf>
    <xf numFmtId="4" fontId="144" fillId="2" borderId="0" xfId="0" applyNumberFormat="1" applyFont="1" applyFill="1" applyBorder="1" applyAlignment="1">
      <alignment horizontal="center" vertical="center"/>
    </xf>
    <xf numFmtId="0" fontId="78" fillId="19" borderId="0" xfId="0" applyFont="1" applyFill="1" applyAlignment="1">
      <alignment horizontal="center" vertical="center"/>
    </xf>
    <xf numFmtId="0" fontId="39" fillId="19" borderId="0" xfId="0" applyFont="1" applyFill="1" applyAlignment="1">
      <alignment horizontal="center" vertical="center" wrapText="1"/>
    </xf>
    <xf numFmtId="0" fontId="61" fillId="19" borderId="0" xfId="0" applyFont="1" applyFill="1" applyAlignment="1" applyProtection="1">
      <alignment horizontal="left" vertical="center" indent="1"/>
    </xf>
    <xf numFmtId="0" fontId="61" fillId="19" borderId="0" xfId="0" applyFont="1" applyFill="1" applyBorder="1" applyAlignment="1" applyProtection="1">
      <alignment horizontal="right" vertical="center" wrapText="1" indent="1"/>
    </xf>
    <xf numFmtId="9" fontId="96" fillId="19" borderId="0" xfId="1" applyNumberFormat="1" applyFont="1" applyFill="1" applyBorder="1" applyAlignment="1" applyProtection="1">
      <alignment horizontal="center" vertical="center"/>
    </xf>
    <xf numFmtId="0" fontId="78" fillId="19" borderId="0" xfId="78" applyFont="1" applyFill="1" applyAlignment="1" applyProtection="1">
      <alignment horizontal="center" vertical="center"/>
    </xf>
    <xf numFmtId="4" fontId="74" fillId="0" borderId="0" xfId="0" applyNumberFormat="1" applyFont="1" applyFill="1" applyBorder="1" applyAlignment="1" applyProtection="1">
      <alignment horizontal="center" vertical="center"/>
      <protection locked="0"/>
    </xf>
    <xf numFmtId="0" fontId="1" fillId="42" borderId="1" xfId="0" applyFont="1" applyFill="1" applyBorder="1" applyAlignment="1">
      <alignment horizontal="center"/>
    </xf>
    <xf numFmtId="0" fontId="0" fillId="0" borderId="1" xfId="0" applyBorder="1"/>
    <xf numFmtId="0" fontId="0" fillId="0" borderId="1" xfId="0" applyBorder="1" applyAlignment="1">
      <alignment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0" fontId="0" fillId="0" borderId="1" xfId="0" applyFill="1" applyBorder="1" applyAlignment="1">
      <alignment wrapText="1"/>
    </xf>
    <xf numFmtId="0" fontId="0" fillId="0" borderId="1" xfId="0" applyFont="1" applyFill="1" applyBorder="1" applyAlignment="1">
      <alignment horizontal="center"/>
    </xf>
    <xf numFmtId="0" fontId="0" fillId="0" borderId="1" xfId="0" applyFont="1" applyFill="1" applyBorder="1" applyAlignment="1">
      <alignment horizontal="left"/>
    </xf>
    <xf numFmtId="14" fontId="0" fillId="0" borderId="1" xfId="0" applyNumberFormat="1" applyFont="1" applyFill="1" applyBorder="1" applyAlignment="1">
      <alignment horizontal="center" vertical="center"/>
    </xf>
    <xf numFmtId="0" fontId="0" fillId="0" borderId="33" xfId="0" applyBorder="1"/>
    <xf numFmtId="0" fontId="0" fillId="0" borderId="34" xfId="0" applyBorder="1"/>
    <xf numFmtId="0" fontId="0" fillId="0" borderId="2" xfId="0" applyBorder="1"/>
    <xf numFmtId="0" fontId="0" fillId="0" borderId="35" xfId="0" applyBorder="1"/>
    <xf numFmtId="0" fontId="0" fillId="0" borderId="36" xfId="0" applyBorder="1"/>
    <xf numFmtId="0" fontId="1" fillId="0" borderId="37" xfId="0" applyFont="1" applyBorder="1"/>
    <xf numFmtId="0" fontId="0" fillId="0" borderId="38" xfId="0" applyBorder="1"/>
    <xf numFmtId="0" fontId="0" fillId="0" borderId="39" xfId="0" applyBorder="1"/>
    <xf numFmtId="0" fontId="1" fillId="0" borderId="40" xfId="0" applyFont="1" applyBorder="1"/>
    <xf numFmtId="0" fontId="1" fillId="0" borderId="36" xfId="0" applyFont="1" applyBorder="1"/>
    <xf numFmtId="0" fontId="118" fillId="2" borderId="0" xfId="0" applyFont="1" applyFill="1" applyBorder="1" applyAlignment="1">
      <alignment horizontal="center" vertical="center"/>
    </xf>
    <xf numFmtId="2" fontId="70" fillId="2" borderId="0" xfId="0" applyNumberFormat="1" applyFont="1" applyFill="1" applyBorder="1" applyAlignment="1">
      <alignment horizontal="center" vertical="center"/>
    </xf>
    <xf numFmtId="180" fontId="70" fillId="2" borderId="0" xfId="0" applyNumberFormat="1"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Fill="1" applyBorder="1"/>
    <xf numFmtId="0" fontId="0" fillId="0" borderId="1" xfId="0" applyBorder="1" applyAlignment="1">
      <alignment horizontal="center" vertical="center"/>
    </xf>
    <xf numFmtId="14" fontId="0" fillId="0" borderId="31" xfId="0" applyNumberFormat="1" applyBorder="1" applyAlignment="1">
      <alignment horizontal="center" vertical="center"/>
    </xf>
    <xf numFmtId="14" fontId="0" fillId="0" borderId="32" xfId="0" applyNumberFormat="1" applyBorder="1" applyAlignment="1">
      <alignment horizontal="center" vertical="center"/>
    </xf>
    <xf numFmtId="14" fontId="0" fillId="0" borderId="3" xfId="0" applyNumberFormat="1" applyBorder="1" applyAlignment="1">
      <alignment horizontal="center" vertical="center"/>
    </xf>
    <xf numFmtId="0" fontId="0" fillId="0" borderId="31" xfId="0" applyBorder="1" applyAlignment="1">
      <alignment horizontal="center" vertical="center"/>
    </xf>
    <xf numFmtId="0" fontId="0" fillId="0" borderId="3" xfId="0" applyBorder="1" applyAlignment="1">
      <alignment horizontal="center" vertical="center"/>
    </xf>
    <xf numFmtId="0" fontId="0" fillId="0" borderId="32" xfId="0" applyBorder="1" applyAlignment="1">
      <alignment horizontal="center" vertical="center"/>
    </xf>
    <xf numFmtId="0" fontId="66" fillId="9" borderId="0" xfId="0" applyFont="1" applyFill="1" applyBorder="1" applyAlignment="1">
      <alignment horizontal="center" vertical="center"/>
    </xf>
    <xf numFmtId="0" fontId="129" fillId="21" borderId="0" xfId="0" applyFont="1" applyFill="1" applyAlignment="1">
      <alignment horizontal="center" vertical="center"/>
    </xf>
    <xf numFmtId="0" fontId="66" fillId="0" borderId="0" xfId="0" applyFont="1" applyFill="1" applyBorder="1" applyAlignment="1">
      <alignment horizontal="center" vertical="center"/>
    </xf>
    <xf numFmtId="0" fontId="39" fillId="0" borderId="13" xfId="0" applyFont="1" applyFill="1" applyBorder="1" applyAlignment="1" applyProtection="1">
      <alignment horizontal="left" indent="1"/>
      <protection locked="0"/>
    </xf>
    <xf numFmtId="0" fontId="39" fillId="0" borderId="12" xfId="0" applyFont="1" applyFill="1" applyBorder="1" applyAlignment="1" applyProtection="1">
      <alignment horizontal="left" indent="1"/>
      <protection locked="0"/>
    </xf>
    <xf numFmtId="0" fontId="39" fillId="0" borderId="14" xfId="0" applyFont="1" applyFill="1" applyBorder="1" applyAlignment="1" applyProtection="1">
      <alignment horizontal="left" indent="1"/>
      <protection locked="0"/>
    </xf>
    <xf numFmtId="0" fontId="71" fillId="9" borderId="9" xfId="0" applyFont="1" applyFill="1" applyBorder="1" applyAlignment="1" applyProtection="1">
      <alignment horizontal="center" vertical="center"/>
      <protection locked="0"/>
    </xf>
    <xf numFmtId="0" fontId="78" fillId="19" borderId="0" xfId="0" applyFont="1" applyFill="1" applyAlignment="1">
      <alignment horizontal="center" vertical="center"/>
    </xf>
    <xf numFmtId="0" fontId="66" fillId="9" borderId="0" xfId="0" applyFont="1" applyFill="1" applyAlignment="1">
      <alignment horizontal="center" vertical="center"/>
    </xf>
    <xf numFmtId="0" fontId="63" fillId="21" borderId="0" xfId="0" applyFont="1" applyFill="1" applyAlignment="1">
      <alignment horizontal="center" vertical="center"/>
    </xf>
    <xf numFmtId="0" fontId="78" fillId="19" borderId="0" xfId="0" applyFont="1" applyFill="1" applyBorder="1" applyAlignment="1">
      <alignment horizontal="center" vertical="center"/>
    </xf>
    <xf numFmtId="0" fontId="69" fillId="21" borderId="0" xfId="0" applyFont="1" applyFill="1" applyAlignment="1">
      <alignment horizontal="center" vertical="center"/>
    </xf>
    <xf numFmtId="0" fontId="78" fillId="0" borderId="0" xfId="0" applyFont="1" applyFill="1" applyAlignment="1">
      <alignment horizontal="center" vertical="center"/>
    </xf>
    <xf numFmtId="0" fontId="65" fillId="19" borderId="0" xfId="0" applyFont="1" applyFill="1" applyBorder="1" applyAlignment="1">
      <alignment horizontal="right" vertical="center" wrapText="1"/>
    </xf>
    <xf numFmtId="0" fontId="49" fillId="20" borderId="0" xfId="0" applyFont="1" applyFill="1" applyBorder="1" applyAlignment="1">
      <alignment horizontal="center" vertical="center"/>
    </xf>
    <xf numFmtId="168" fontId="47" fillId="31" borderId="16" xfId="0" applyNumberFormat="1" applyFont="1" applyFill="1" applyBorder="1" applyAlignment="1">
      <alignment horizontal="center" vertical="center"/>
    </xf>
    <xf numFmtId="0" fontId="108" fillId="22" borderId="0" xfId="0" applyFont="1" applyFill="1" applyBorder="1" applyAlignment="1">
      <alignment horizontal="center" vertical="center"/>
    </xf>
    <xf numFmtId="2" fontId="49" fillId="22" borderId="0" xfId="0" applyNumberFormat="1" applyFont="1" applyFill="1" applyAlignment="1">
      <alignment horizontal="center" vertical="center" wrapText="1"/>
    </xf>
    <xf numFmtId="0" fontId="49" fillId="24" borderId="0" xfId="0" applyFont="1" applyFill="1" applyBorder="1" applyAlignment="1">
      <alignment horizontal="center" vertical="center"/>
    </xf>
    <xf numFmtId="0" fontId="61" fillId="19" borderId="0" xfId="0" applyFont="1" applyFill="1" applyAlignment="1" applyProtection="1">
      <alignment horizontal="right" vertical="center" wrapText="1" indent="1"/>
    </xf>
    <xf numFmtId="0" fontId="61" fillId="19" borderId="18" xfId="0" applyFont="1" applyFill="1" applyBorder="1" applyAlignment="1" applyProtection="1">
      <alignment horizontal="right" vertical="center" wrapText="1" indent="1"/>
    </xf>
    <xf numFmtId="0" fontId="57" fillId="0" borderId="0" xfId="0" applyFont="1" applyFill="1" applyBorder="1" applyAlignment="1">
      <alignment horizontal="center" vertical="center"/>
    </xf>
    <xf numFmtId="0" fontId="68" fillId="9" borderId="0" xfId="0" applyFont="1" applyFill="1" applyAlignment="1">
      <alignment horizontal="center" vertical="center"/>
    </xf>
    <xf numFmtId="0" fontId="61" fillId="19" borderId="18" xfId="0" applyFont="1" applyFill="1" applyBorder="1" applyAlignment="1">
      <alignment horizontal="center" vertical="center" wrapText="1"/>
    </xf>
    <xf numFmtId="4" fontId="61" fillId="0" borderId="8" xfId="0" applyNumberFormat="1" applyFont="1" applyFill="1" applyBorder="1" applyAlignment="1" applyProtection="1">
      <alignment horizontal="center" vertical="center"/>
      <protection locked="0"/>
    </xf>
    <xf numFmtId="4" fontId="61" fillId="0" borderId="19" xfId="0" applyNumberFormat="1" applyFont="1" applyFill="1" applyBorder="1" applyAlignment="1" applyProtection="1">
      <alignment horizontal="center" vertical="center"/>
      <protection locked="0"/>
    </xf>
    <xf numFmtId="0" fontId="39" fillId="19" borderId="0" xfId="0" applyFont="1" applyFill="1" applyAlignment="1">
      <alignment horizontal="center" vertical="center" wrapText="1"/>
    </xf>
    <xf numFmtId="0" fontId="108" fillId="37" borderId="0" xfId="0" applyFont="1" applyFill="1" applyAlignment="1">
      <alignment horizontal="center" vertical="center" wrapText="1"/>
    </xf>
    <xf numFmtId="0" fontId="49" fillId="37" borderId="0" xfId="0" applyFont="1" applyFill="1" applyBorder="1" applyAlignment="1">
      <alignment horizontal="center" vertical="center"/>
    </xf>
    <xf numFmtId="168" fontId="77" fillId="31" borderId="16" xfId="0" applyNumberFormat="1" applyFont="1" applyFill="1" applyBorder="1" applyAlignment="1">
      <alignment horizontal="center" vertical="center"/>
    </xf>
    <xf numFmtId="2" fontId="78" fillId="0" borderId="9" xfId="0" applyNumberFormat="1" applyFont="1" applyFill="1" applyBorder="1" applyAlignment="1" applyProtection="1">
      <alignment horizontal="center" vertical="center"/>
      <protection locked="0"/>
    </xf>
    <xf numFmtId="0" fontId="100" fillId="18" borderId="0" xfId="0" applyFont="1" applyFill="1" applyBorder="1" applyAlignment="1">
      <alignment horizontal="center" vertical="center" wrapText="1"/>
    </xf>
    <xf numFmtId="0" fontId="39" fillId="26" borderId="0" xfId="0" applyFont="1" applyFill="1" applyAlignment="1">
      <alignment horizontal="left" vertical="center"/>
    </xf>
    <xf numFmtId="0" fontId="100" fillId="18" borderId="0" xfId="0" applyFont="1" applyFill="1" applyBorder="1" applyAlignment="1">
      <alignment horizontal="left" vertical="center" wrapText="1"/>
    </xf>
    <xf numFmtId="11" fontId="123" fillId="14" borderId="0" xfId="0" applyNumberFormat="1" applyFont="1" applyFill="1" applyBorder="1" applyAlignment="1">
      <alignment horizontal="left" vertical="center"/>
    </xf>
    <xf numFmtId="0" fontId="100" fillId="18" borderId="17" xfId="0" applyFont="1" applyFill="1" applyBorder="1" applyAlignment="1">
      <alignment horizontal="center" vertical="center"/>
    </xf>
    <xf numFmtId="11" fontId="123" fillId="14" borderId="17" xfId="0" applyNumberFormat="1" applyFont="1" applyFill="1" applyBorder="1" applyAlignment="1">
      <alignment horizontal="center" vertical="center"/>
    </xf>
    <xf numFmtId="11" fontId="123" fillId="14" borderId="0" xfId="0" applyNumberFormat="1" applyFont="1" applyFill="1" applyBorder="1" applyAlignment="1">
      <alignment horizontal="center" vertical="center" wrapText="1"/>
    </xf>
    <xf numFmtId="11" fontId="123" fillId="14" borderId="0" xfId="0" applyNumberFormat="1" applyFont="1" applyFill="1" applyBorder="1" applyAlignment="1">
      <alignment horizontal="center" vertical="center"/>
    </xf>
    <xf numFmtId="0" fontId="43" fillId="32" borderId="0" xfId="0" applyFont="1" applyFill="1" applyBorder="1" applyAlignment="1">
      <alignment horizontal="right" vertical="center"/>
    </xf>
  </cellXfs>
  <cellStyles count="99">
    <cellStyle name="2x indented GHG Textfiels" xfId="3" xr:uid="{00000000-0005-0000-0000-000000000000}"/>
    <cellStyle name="40% - Ênfase3 2" xfId="4" xr:uid="{00000000-0005-0000-0000-000001000000}"/>
    <cellStyle name="40% - Ênfase3 2 2" xfId="5" xr:uid="{00000000-0005-0000-0000-000002000000}"/>
    <cellStyle name="40% - Ênfase3 3" xfId="6" xr:uid="{00000000-0005-0000-0000-000003000000}"/>
    <cellStyle name="5x indented GHG Textfiels" xfId="7" xr:uid="{00000000-0005-0000-0000-000004000000}"/>
    <cellStyle name="Biomassa" xfId="8" xr:uid="{00000000-0005-0000-0000-000005000000}"/>
    <cellStyle name="Bold GHG Numbers (0.00)" xfId="9" xr:uid="{00000000-0005-0000-0000-000006000000}"/>
    <cellStyle name="Borda inferior" xfId="92" xr:uid="{00000000-0005-0000-0000-000007000000}"/>
    <cellStyle name="Borda Verde Direita" xfId="93" xr:uid="{00000000-0005-0000-0000-000008000000}"/>
    <cellStyle name="Borda Verde Esquerda" xfId="95" xr:uid="{00000000-0005-0000-0000-000009000000}"/>
    <cellStyle name="Borda Verde Inferior Esquerda" xfId="94" xr:uid="{00000000-0005-0000-0000-00000A000000}"/>
    <cellStyle name="BordaLaranja" xfId="87" xr:uid="{00000000-0005-0000-0000-00000B000000}"/>
    <cellStyle name="CélulaAmarela" xfId="88" xr:uid="{00000000-0005-0000-0000-00000C000000}"/>
    <cellStyle name="Comma0" xfId="10" xr:uid="{00000000-0005-0000-0000-00000D000000}"/>
    <cellStyle name="Corner heading" xfId="11" xr:uid="{00000000-0005-0000-0000-00000E000000}"/>
    <cellStyle name="Currency0" xfId="12" xr:uid="{00000000-0005-0000-0000-00000F000000}"/>
    <cellStyle name="Data" xfId="13" xr:uid="{00000000-0005-0000-0000-000010000000}"/>
    <cellStyle name="Data 2" xfId="96" xr:uid="{00000000-0005-0000-0000-000011000000}"/>
    <cellStyle name="Data no deci" xfId="14" xr:uid="{00000000-0005-0000-0000-000012000000}"/>
    <cellStyle name="Data Superscript" xfId="15" xr:uid="{00000000-0005-0000-0000-000013000000}"/>
    <cellStyle name="Data_1-1A-Regular" xfId="16" xr:uid="{00000000-0005-0000-0000-000014000000}"/>
    <cellStyle name="Data-one deci" xfId="17" xr:uid="{00000000-0005-0000-0000-000015000000}"/>
    <cellStyle name="Date" xfId="18" xr:uid="{00000000-0005-0000-0000-000016000000}"/>
    <cellStyle name="Editáveis" xfId="19" xr:uid="{00000000-0005-0000-0000-000017000000}"/>
    <cellStyle name="Escopo 1" xfId="20" xr:uid="{00000000-0005-0000-0000-000018000000}"/>
    <cellStyle name="Escopo 2" xfId="21" xr:uid="{00000000-0005-0000-0000-000019000000}"/>
    <cellStyle name="Escopo 3" xfId="22" xr:uid="{00000000-0005-0000-0000-00001A000000}"/>
    <cellStyle name="Escopos somados" xfId="23" xr:uid="{00000000-0005-0000-0000-00001B000000}"/>
    <cellStyle name="Euro" xfId="24" xr:uid="{00000000-0005-0000-0000-00001C000000}"/>
    <cellStyle name="Exemplo" xfId="25" xr:uid="{00000000-0005-0000-0000-00001D000000}"/>
    <cellStyle name="Fixed" xfId="26" xr:uid="{00000000-0005-0000-0000-00001E000000}"/>
    <cellStyle name="GrayCell" xfId="89" xr:uid="{00000000-0005-0000-0000-00001F000000}"/>
    <cellStyle name="Headline" xfId="27" xr:uid="{00000000-0005-0000-0000-000020000000}"/>
    <cellStyle name="Hed Side" xfId="28" xr:uid="{00000000-0005-0000-0000-000021000000}"/>
    <cellStyle name="Hed Side bold" xfId="29" xr:uid="{00000000-0005-0000-0000-000022000000}"/>
    <cellStyle name="Hed Side Indent" xfId="30" xr:uid="{00000000-0005-0000-0000-000023000000}"/>
    <cellStyle name="Hed Side Regular" xfId="31" xr:uid="{00000000-0005-0000-0000-000024000000}"/>
    <cellStyle name="Hed Side_1-1A-Regular" xfId="32" xr:uid="{00000000-0005-0000-0000-000025000000}"/>
    <cellStyle name="Hed Top" xfId="33" xr:uid="{00000000-0005-0000-0000-000026000000}"/>
    <cellStyle name="Hed Top - SECTION" xfId="34" xr:uid="{00000000-0005-0000-0000-000027000000}"/>
    <cellStyle name="Hed Top_3-new4" xfId="35" xr:uid="{00000000-0005-0000-0000-000028000000}"/>
    <cellStyle name="Hiperlink" xfId="78" builtinId="8"/>
    <cellStyle name="Milliers [0]_Annex_comb_guideline_version4-2" xfId="36" xr:uid="{00000000-0005-0000-0000-00002A000000}"/>
    <cellStyle name="Milliers_Annex_comb_guideline_version4-2" xfId="37" xr:uid="{00000000-0005-0000-0000-00002B000000}"/>
    <cellStyle name="Moeda 2" xfId="98" xr:uid="{00000000-0005-0000-0000-00002C000000}"/>
    <cellStyle name="Monétaire [0]_Annex comb guideline 4-7" xfId="38" xr:uid="{00000000-0005-0000-0000-00002D000000}"/>
    <cellStyle name="Monétaire_Annex_comb_guideline_version4-2" xfId="39" xr:uid="{00000000-0005-0000-0000-00002E000000}"/>
    <cellStyle name="Normal" xfId="0" builtinId="0"/>
    <cellStyle name="Normal 2" xfId="2" xr:uid="{00000000-0005-0000-0000-000030000000}"/>
    <cellStyle name="Normal 2 2" xfId="80" xr:uid="{00000000-0005-0000-0000-000031000000}"/>
    <cellStyle name="Normal 2 2 2" xfId="81" xr:uid="{00000000-0005-0000-0000-000032000000}"/>
    <cellStyle name="Normal 3" xfId="40" xr:uid="{00000000-0005-0000-0000-000033000000}"/>
    <cellStyle name="Normal 3 2" xfId="41" xr:uid="{00000000-0005-0000-0000-000034000000}"/>
    <cellStyle name="Normal 4" xfId="42" xr:uid="{00000000-0005-0000-0000-000035000000}"/>
    <cellStyle name="Normal 4 2" xfId="43" xr:uid="{00000000-0005-0000-0000-000036000000}"/>
    <cellStyle name="Normal GHG Textfiels Bold" xfId="44" xr:uid="{00000000-0005-0000-0000-000037000000}"/>
    <cellStyle name="Normal GHG whole table" xfId="45" xr:uid="{00000000-0005-0000-0000-000038000000}"/>
    <cellStyle name="Normal GHG-Shade" xfId="46" xr:uid="{00000000-0005-0000-0000-000039000000}"/>
    <cellStyle name="Pattern" xfId="47" xr:uid="{00000000-0005-0000-0000-00003A000000}"/>
    <cellStyle name="Porcentagem" xfId="1" builtinId="5"/>
    <cellStyle name="Porcentagem 2" xfId="48" xr:uid="{00000000-0005-0000-0000-00003C000000}"/>
    <cellStyle name="Realce" xfId="97" xr:uid="{00000000-0005-0000-0000-00003D000000}"/>
    <cellStyle name="Reference" xfId="49" xr:uid="{00000000-0005-0000-0000-00003E000000}"/>
    <cellStyle name="Row heading" xfId="50" xr:uid="{00000000-0005-0000-0000-00003F000000}"/>
    <cellStyle name="Separador de milhares 2" xfId="51" xr:uid="{00000000-0005-0000-0000-000040000000}"/>
    <cellStyle name="Source Hed" xfId="52" xr:uid="{00000000-0005-0000-0000-000041000000}"/>
    <cellStyle name="Source Letter" xfId="53" xr:uid="{00000000-0005-0000-0000-000042000000}"/>
    <cellStyle name="Source Superscript" xfId="54" xr:uid="{00000000-0005-0000-0000-000043000000}"/>
    <cellStyle name="Source Text" xfId="55" xr:uid="{00000000-0005-0000-0000-000044000000}"/>
    <cellStyle name="Standard_CRF Inventar" xfId="56" xr:uid="{00000000-0005-0000-0000-000045000000}"/>
    <cellStyle name="State" xfId="57" xr:uid="{00000000-0005-0000-0000-000046000000}"/>
    <cellStyle name="Style 1" xfId="79" xr:uid="{00000000-0005-0000-0000-000047000000}"/>
    <cellStyle name="Superscript" xfId="58" xr:uid="{00000000-0005-0000-0000-000048000000}"/>
    <cellStyle name="Superscript- regular" xfId="59" xr:uid="{00000000-0005-0000-0000-000049000000}"/>
    <cellStyle name="Superscript_1-1A-Regular" xfId="60" xr:uid="{00000000-0005-0000-0000-00004A000000}"/>
    <cellStyle name="Table Data" xfId="61" xr:uid="{00000000-0005-0000-0000-00004B000000}"/>
    <cellStyle name="Table Head Top" xfId="62" xr:uid="{00000000-0005-0000-0000-00004C000000}"/>
    <cellStyle name="Table Hed Side" xfId="63" xr:uid="{00000000-0005-0000-0000-00004D000000}"/>
    <cellStyle name="Table Title" xfId="64" xr:uid="{00000000-0005-0000-0000-00004E000000}"/>
    <cellStyle name="Texto de coluna de Z a A" xfId="86" xr:uid="{00000000-0005-0000-0000-00004F000000}"/>
    <cellStyle name="Texto Inicial" xfId="85" xr:uid="{00000000-0005-0000-0000-000050000000}"/>
    <cellStyle name="Title Text" xfId="65" xr:uid="{00000000-0005-0000-0000-000051000000}"/>
    <cellStyle name="Title Text 1" xfId="66" xr:uid="{00000000-0005-0000-0000-000052000000}"/>
    <cellStyle name="Title Text 2" xfId="67" xr:uid="{00000000-0005-0000-0000-000053000000}"/>
    <cellStyle name="Title-1" xfId="68" xr:uid="{00000000-0005-0000-0000-000054000000}"/>
    <cellStyle name="Title-2" xfId="69" xr:uid="{00000000-0005-0000-0000-000055000000}"/>
    <cellStyle name="Title-3" xfId="70" xr:uid="{00000000-0005-0000-0000-000056000000}"/>
    <cellStyle name="Título 1 2" xfId="82" xr:uid="{00000000-0005-0000-0000-000057000000}"/>
    <cellStyle name="Título 2 2" xfId="83" xr:uid="{00000000-0005-0000-0000-000058000000}"/>
    <cellStyle name="Título 3 2" xfId="90" xr:uid="{00000000-0005-0000-0000-000059000000}"/>
    <cellStyle name="Título 4 2" xfId="91" xr:uid="{00000000-0005-0000-0000-00005A000000}"/>
    <cellStyle name="Título 5" xfId="84" xr:uid="{00000000-0005-0000-0000-00005B000000}"/>
    <cellStyle name="Vírgula 2" xfId="71" xr:uid="{00000000-0005-0000-0000-00005C000000}"/>
    <cellStyle name="Vírgula 3" xfId="72" xr:uid="{00000000-0005-0000-0000-00005D000000}"/>
    <cellStyle name="Wrap" xfId="73" xr:uid="{00000000-0005-0000-0000-00005E000000}"/>
    <cellStyle name="Wrap Bold" xfId="74" xr:uid="{00000000-0005-0000-0000-00005F000000}"/>
    <cellStyle name="Wrap Title" xfId="75" xr:uid="{00000000-0005-0000-0000-000060000000}"/>
    <cellStyle name="Wrap_NTS99-~11" xfId="76" xr:uid="{00000000-0005-0000-0000-000061000000}"/>
    <cellStyle name="標準_CRF1999" xfId="77" xr:uid="{00000000-0005-0000-0000-000062000000}"/>
  </cellStyles>
  <dxfs count="36">
    <dxf>
      <font>
        <b val="0"/>
        <i/>
        <condense val="0"/>
        <extend val="0"/>
      </font>
      <fill>
        <patternFill>
          <bgColor rgb="FFC0C0C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0" tint="-4.9989318521683403E-2"/>
        </patternFill>
      </fill>
    </dxf>
    <dxf>
      <font>
        <color theme="0"/>
      </font>
      <fill>
        <patternFill>
          <bgColor rgb="FF339966"/>
        </patternFill>
      </fill>
    </dxf>
    <dxf>
      <font>
        <color theme="0"/>
      </font>
      <fill>
        <patternFill>
          <bgColor rgb="FF359966"/>
        </patternFill>
      </fill>
    </dxf>
    <dxf>
      <font>
        <color theme="0"/>
      </font>
      <fill>
        <patternFill>
          <bgColor rgb="FF359966"/>
        </patternFill>
      </fill>
    </dxf>
  </dxfs>
  <tableStyles count="2" defaultTableStyle="TableStyleMedium2" defaultPivotStyle="PivotStyleLight16">
    <tableStyle name="Estilo de TabelaDinâmica 1" table="0" count="2" xr9:uid="{00000000-0011-0000-FFFF-FFFF00000000}">
      <tableStyleElement type="headerRow" dxfId="35"/>
      <tableStyleElement type="totalRow" dxfId="34"/>
    </tableStyle>
    <tableStyle name="EstiloTabelaPersonalizado" pivot="0" count="2" xr9:uid="{00000000-0011-0000-FFFF-FFFF01000000}">
      <tableStyleElement type="headerRow" dxfId="33"/>
      <tableStyleElement type="firstRowStripe" dxfId="32"/>
    </tableStyle>
  </tableStyles>
  <colors>
    <mruColors>
      <color rgb="FFF0F1F2"/>
      <color rgb="FF3A67B8"/>
      <color rgb="FF1F4E78"/>
      <color rgb="FF4B9FD7"/>
      <color rgb="FFFF3300"/>
      <color rgb="FFCAD866"/>
      <color rgb="FF003300"/>
      <color rgb="FF009900"/>
      <color rgb="FF99CC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Instru&#231;&#245;es!A1"/><Relationship Id="rId2" Type="http://schemas.openxmlformats.org/officeDocument/2006/relationships/image" Target="../media/image3.png"/><Relationship Id="rId1" Type="http://schemas.openxmlformats.org/officeDocument/2006/relationships/image" Target="../media/image1.png"/><Relationship Id="rId5" Type="http://schemas.openxmlformats.org/officeDocument/2006/relationships/hyperlink" Target="#Diret&#243;rio!A1"/><Relationship Id="rId4" Type="http://schemas.openxmlformats.org/officeDocument/2006/relationships/image" Target="../media/image2.png"/></Relationships>
</file>

<file path=xl/drawings/_rels/drawing11.xml.rels><?xml version="1.0" encoding="UTF-8" standalone="yes"?>
<Relationships xmlns="http://schemas.openxmlformats.org/package/2006/relationships"><Relationship Id="rId3" Type="http://schemas.openxmlformats.org/officeDocument/2006/relationships/hyperlink" Target="#Instru&#231;&#245;es!A1"/><Relationship Id="rId2" Type="http://schemas.openxmlformats.org/officeDocument/2006/relationships/image" Target="../media/image3.png"/><Relationship Id="rId1" Type="http://schemas.openxmlformats.org/officeDocument/2006/relationships/image" Target="../media/image1.png"/><Relationship Id="rId5" Type="http://schemas.openxmlformats.org/officeDocument/2006/relationships/hyperlink" Target="#Diret&#243;rio!A1"/><Relationship Id="rId4"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hyperlink" Target="#Instru&#231;&#245;es!A1"/><Relationship Id="rId2" Type="http://schemas.openxmlformats.org/officeDocument/2006/relationships/image" Target="../media/image3.png"/><Relationship Id="rId1" Type="http://schemas.openxmlformats.org/officeDocument/2006/relationships/image" Target="../media/image1.png"/><Relationship Id="rId5" Type="http://schemas.openxmlformats.org/officeDocument/2006/relationships/hyperlink" Target="#Diret&#243;rio!A1"/><Relationship Id="rId4"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4.png"/><Relationship Id="rId5" Type="http://schemas.openxmlformats.org/officeDocument/2006/relationships/image" Target="../media/image2.png"/><Relationship Id="rId4" Type="http://schemas.openxmlformats.org/officeDocument/2006/relationships/hyperlink" Target="#Diret&#243;rio!A1"/></Relationships>
</file>

<file path=xl/drawings/_rels/drawing3.xml.rels><?xml version="1.0" encoding="UTF-8" standalone="yes"?>
<Relationships xmlns="http://schemas.openxmlformats.org/package/2006/relationships"><Relationship Id="rId8" Type="http://schemas.openxmlformats.org/officeDocument/2006/relationships/hyperlink" Target="#E1GMI!A1"/><Relationship Id="rId13" Type="http://schemas.openxmlformats.org/officeDocument/2006/relationships/hyperlink" Target="#Biometano!A1"/><Relationship Id="rId3" Type="http://schemas.openxmlformats.org/officeDocument/2006/relationships/hyperlink" Target="#Instru&#231;&#245;es!A1"/><Relationship Id="rId7" Type="http://schemas.openxmlformats.org/officeDocument/2006/relationships/hyperlink" Target="#'E1G Flex'!A1"/><Relationship Id="rId12" Type="http://schemas.openxmlformats.org/officeDocument/2006/relationships/hyperlink" Target="#CombAlterHEFA!A1"/><Relationship Id="rId2" Type="http://schemas.openxmlformats.org/officeDocument/2006/relationships/image" Target="../media/image3.png"/><Relationship Id="rId1" Type="http://schemas.openxmlformats.org/officeDocument/2006/relationships/image" Target="../media/image1.png"/><Relationship Id="rId6" Type="http://schemas.openxmlformats.org/officeDocument/2006/relationships/hyperlink" Target="#E1GM!A1"/><Relationship Id="rId11" Type="http://schemas.openxmlformats.org/officeDocument/2006/relationships/hyperlink" Target="#Biodiesel!A1"/><Relationship Id="rId5" Type="http://schemas.openxmlformats.org/officeDocument/2006/relationships/hyperlink" Target="#E1GC!A1"/><Relationship Id="rId10" Type="http://schemas.openxmlformats.org/officeDocument/2006/relationships/hyperlink" Target="#E1G2G!A1"/><Relationship Id="rId4" Type="http://schemas.openxmlformats.org/officeDocument/2006/relationships/image" Target="../media/image2.png"/><Relationship Id="rId9" Type="http://schemas.openxmlformats.org/officeDocument/2006/relationships/hyperlink" Target="#E2G!A1"/></Relationships>
</file>

<file path=xl/drawings/_rels/drawing4.xml.rels><?xml version="1.0" encoding="UTF-8" standalone="yes"?>
<Relationships xmlns="http://schemas.openxmlformats.org/package/2006/relationships"><Relationship Id="rId3" Type="http://schemas.openxmlformats.org/officeDocument/2006/relationships/hyperlink" Target="#Instru&#231;&#245;es!A1"/><Relationship Id="rId2" Type="http://schemas.openxmlformats.org/officeDocument/2006/relationships/image" Target="../media/image3.png"/><Relationship Id="rId1" Type="http://schemas.openxmlformats.org/officeDocument/2006/relationships/image" Target="../media/image1.png"/><Relationship Id="rId5" Type="http://schemas.openxmlformats.org/officeDocument/2006/relationships/hyperlink" Target="#Diret&#243;rio!A1"/><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hyperlink" Target="#Instru&#231;&#245;es!A1"/><Relationship Id="rId2" Type="http://schemas.openxmlformats.org/officeDocument/2006/relationships/image" Target="../media/image3.png"/><Relationship Id="rId1" Type="http://schemas.openxmlformats.org/officeDocument/2006/relationships/image" Target="../media/image1.png"/><Relationship Id="rId5" Type="http://schemas.openxmlformats.org/officeDocument/2006/relationships/hyperlink" Target="#Diret&#243;rio!A1"/><Relationship Id="rId4"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hyperlink" Target="#Instru&#231;&#245;es!A1"/><Relationship Id="rId2" Type="http://schemas.openxmlformats.org/officeDocument/2006/relationships/image" Target="../media/image3.png"/><Relationship Id="rId1" Type="http://schemas.openxmlformats.org/officeDocument/2006/relationships/image" Target="../media/image1.png"/><Relationship Id="rId5" Type="http://schemas.openxmlformats.org/officeDocument/2006/relationships/hyperlink" Target="#Diret&#243;rio!A1"/><Relationship Id="rId4"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hyperlink" Target="#Instru&#231;&#245;es!A1"/><Relationship Id="rId2" Type="http://schemas.openxmlformats.org/officeDocument/2006/relationships/image" Target="../media/image3.png"/><Relationship Id="rId1" Type="http://schemas.openxmlformats.org/officeDocument/2006/relationships/image" Target="../media/image1.png"/><Relationship Id="rId5" Type="http://schemas.openxmlformats.org/officeDocument/2006/relationships/hyperlink" Target="#Diret&#243;rio!A1"/><Relationship Id="rId4"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hyperlink" Target="#Instru&#231;&#245;es!A1"/><Relationship Id="rId2" Type="http://schemas.openxmlformats.org/officeDocument/2006/relationships/image" Target="../media/image3.png"/><Relationship Id="rId1" Type="http://schemas.openxmlformats.org/officeDocument/2006/relationships/image" Target="../media/image1.png"/><Relationship Id="rId5" Type="http://schemas.openxmlformats.org/officeDocument/2006/relationships/hyperlink" Target="#Diret&#243;rio!A1"/><Relationship Id="rId4"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hyperlink" Target="#Instru&#231;&#245;es!A1"/><Relationship Id="rId2" Type="http://schemas.openxmlformats.org/officeDocument/2006/relationships/image" Target="../media/image3.png"/><Relationship Id="rId1" Type="http://schemas.openxmlformats.org/officeDocument/2006/relationships/image" Target="../media/image1.png"/><Relationship Id="rId5" Type="http://schemas.openxmlformats.org/officeDocument/2006/relationships/hyperlink" Target="#Diret&#243;rio!A1"/><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200025</xdr:rowOff>
    </xdr:from>
    <xdr:to>
      <xdr:col>2</xdr:col>
      <xdr:colOff>2180665</xdr:colOff>
      <xdr:row>0</xdr:row>
      <xdr:rowOff>888162</xdr:rowOff>
    </xdr:to>
    <xdr:pic>
      <xdr:nvPicPr>
        <xdr:cNvPr id="2" name="Imagem 1">
          <a:extLst>
            <a:ext uri="{FF2B5EF4-FFF2-40B4-BE49-F238E27FC236}">
              <a16:creationId xmlns:a16="http://schemas.microsoft.com/office/drawing/2014/main" id="{596B4B84-2B18-4C58-98CC-EFEAADE65A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200025"/>
          <a:ext cx="2809315" cy="688137"/>
        </a:xfrm>
        <a:prstGeom prst="rect">
          <a:avLst/>
        </a:prstGeom>
      </xdr:spPr>
    </xdr:pic>
    <xdr:clientData/>
  </xdr:twoCellAnchor>
  <xdr:twoCellAnchor>
    <xdr:from>
      <xdr:col>2</xdr:col>
      <xdr:colOff>3762375</xdr:colOff>
      <xdr:row>0</xdr:row>
      <xdr:rowOff>171450</xdr:rowOff>
    </xdr:from>
    <xdr:to>
      <xdr:col>2</xdr:col>
      <xdr:colOff>6867525</xdr:colOff>
      <xdr:row>1</xdr:row>
      <xdr:rowOff>104556</xdr:rowOff>
    </xdr:to>
    <xdr:pic>
      <xdr:nvPicPr>
        <xdr:cNvPr id="3" name="Imagem 2">
          <a:extLst>
            <a:ext uri="{FF2B5EF4-FFF2-40B4-BE49-F238E27FC236}">
              <a16:creationId xmlns:a16="http://schemas.microsoft.com/office/drawing/2014/main" id="{2376A857-E0C3-47E0-B70E-FAB53A891F71}"/>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1784" b="20359"/>
        <a:stretch/>
      </xdr:blipFill>
      <xdr:spPr>
        <a:xfrm>
          <a:off x="4724400" y="171450"/>
          <a:ext cx="3105150" cy="933231"/>
        </a:xfrm>
        <a:prstGeom prst="rect">
          <a:avLst/>
        </a:prstGeom>
      </xdr:spPr>
    </xdr:pic>
    <xdr:clientData/>
  </xdr:twoCellAnchor>
  <xdr:twoCellAnchor>
    <xdr:from>
      <xdr:col>2</xdr:col>
      <xdr:colOff>8191500</xdr:colOff>
      <xdr:row>0</xdr:row>
      <xdr:rowOff>361950</xdr:rowOff>
    </xdr:from>
    <xdr:to>
      <xdr:col>3</xdr:col>
      <xdr:colOff>1151766</xdr:colOff>
      <xdr:row>0</xdr:row>
      <xdr:rowOff>781050</xdr:rowOff>
    </xdr:to>
    <xdr:pic>
      <xdr:nvPicPr>
        <xdr:cNvPr id="4" name="Imagem 3">
          <a:extLst>
            <a:ext uri="{FF2B5EF4-FFF2-40B4-BE49-F238E27FC236}">
              <a16:creationId xmlns:a16="http://schemas.microsoft.com/office/drawing/2014/main" id="{7B668D3C-5C23-44C5-B7F7-B185D9AE9955}"/>
            </a:ext>
          </a:extLst>
        </xdr:cNvPr>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9153525" y="361950"/>
          <a:ext cx="1589916" cy="4191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573250</xdr:colOff>
      <xdr:row>0</xdr:row>
      <xdr:rowOff>918606</xdr:rowOff>
    </xdr:from>
    <xdr:to>
      <xdr:col>9</xdr:col>
      <xdr:colOff>0</xdr:colOff>
      <xdr:row>0</xdr:row>
      <xdr:rowOff>1157148</xdr:rowOff>
    </xdr:to>
    <xdr:sp macro="" textlink="">
      <xdr:nvSpPr>
        <xdr:cNvPr id="3" name="Retângulo 2">
          <a:extLst>
            <a:ext uri="{FF2B5EF4-FFF2-40B4-BE49-F238E27FC236}">
              <a16:creationId xmlns:a16="http://schemas.microsoft.com/office/drawing/2014/main" id="{00000000-0008-0000-0E00-000003000000}"/>
            </a:ext>
          </a:extLst>
        </xdr:cNvPr>
        <xdr:cNvSpPr/>
      </xdr:nvSpPr>
      <xdr:spPr>
        <a:xfrm>
          <a:off x="6993100" y="918606"/>
          <a:ext cx="43714" cy="238542"/>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400" b="1">
            <a:latin typeface="Calibri Light" panose="020F0302020204030204" pitchFamily="34" charset="0"/>
          </a:endParaRPr>
        </a:p>
      </xdr:txBody>
    </xdr:sp>
    <xdr:clientData/>
  </xdr:twoCellAnchor>
  <xdr:twoCellAnchor>
    <xdr:from>
      <xdr:col>1</xdr:col>
      <xdr:colOff>0</xdr:colOff>
      <xdr:row>0</xdr:row>
      <xdr:rowOff>0</xdr:rowOff>
    </xdr:from>
    <xdr:to>
      <xdr:col>12</xdr:col>
      <xdr:colOff>0</xdr:colOff>
      <xdr:row>0</xdr:row>
      <xdr:rowOff>1133475</xdr:rowOff>
    </xdr:to>
    <xdr:grpSp>
      <xdr:nvGrpSpPr>
        <xdr:cNvPr id="14" name="Agrupar 13">
          <a:extLst>
            <a:ext uri="{FF2B5EF4-FFF2-40B4-BE49-F238E27FC236}">
              <a16:creationId xmlns:a16="http://schemas.microsoft.com/office/drawing/2014/main" id="{00000000-0008-0000-0E00-00000E000000}"/>
            </a:ext>
          </a:extLst>
        </xdr:cNvPr>
        <xdr:cNvGrpSpPr/>
      </xdr:nvGrpSpPr>
      <xdr:grpSpPr>
        <a:xfrm>
          <a:off x="381000" y="0"/>
          <a:ext cx="13287375" cy="1133475"/>
          <a:chOff x="385482" y="0"/>
          <a:chExt cx="11650800" cy="1133475"/>
        </a:xfrm>
      </xdr:grpSpPr>
      <xdr:pic>
        <xdr:nvPicPr>
          <xdr:cNvPr id="15" name="Imagem 14">
            <a:extLst>
              <a:ext uri="{FF2B5EF4-FFF2-40B4-BE49-F238E27FC236}">
                <a16:creationId xmlns:a16="http://schemas.microsoft.com/office/drawing/2014/main" id="{00000000-0008-0000-0E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5482" y="210226"/>
            <a:ext cx="2879051" cy="688137"/>
          </a:xfrm>
          <a:prstGeom prst="rect">
            <a:avLst/>
          </a:prstGeom>
        </xdr:spPr>
      </xdr:pic>
      <xdr:pic>
        <xdr:nvPicPr>
          <xdr:cNvPr id="16" name="Imagem 15">
            <a:extLst>
              <a:ext uri="{FF2B5EF4-FFF2-40B4-BE49-F238E27FC236}">
                <a16:creationId xmlns:a16="http://schemas.microsoft.com/office/drawing/2014/main" id="{00000000-0008-0000-0E00-00001000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9685037" y="187179"/>
            <a:ext cx="1590842" cy="407631"/>
          </a:xfrm>
          <a:prstGeom prst="rect">
            <a:avLst/>
          </a:prstGeom>
          <a:noFill/>
          <a:ln>
            <a:noFill/>
          </a:ln>
        </xdr:spPr>
      </xdr:pic>
      <xdr:sp macro="" textlink="">
        <xdr:nvSpPr>
          <xdr:cNvPr id="17" name="Retângulo 16">
            <a:hlinkClick xmlns:r="http://schemas.openxmlformats.org/officeDocument/2006/relationships" r:id="rId3"/>
            <a:extLst>
              <a:ext uri="{FF2B5EF4-FFF2-40B4-BE49-F238E27FC236}">
                <a16:creationId xmlns:a16="http://schemas.microsoft.com/office/drawing/2014/main" id="{00000000-0008-0000-0E00-000011000000}"/>
              </a:ext>
            </a:extLst>
          </xdr:cNvPr>
          <xdr:cNvSpPr/>
        </xdr:nvSpPr>
        <xdr:spPr>
          <a:xfrm>
            <a:off x="9091265" y="759468"/>
            <a:ext cx="1440000" cy="252000"/>
          </a:xfrm>
          <a:prstGeom prst="rect">
            <a:avLst/>
          </a:prstGeom>
          <a:solidFill>
            <a:srgbClr val="4B9FD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400" b="1">
                <a:latin typeface="Calibri Light" panose="020F0302020204030204" pitchFamily="34" charset="0"/>
              </a:rPr>
              <a:t>Instruções</a:t>
            </a:r>
          </a:p>
        </xdr:txBody>
      </xdr:sp>
      <xdr:pic>
        <xdr:nvPicPr>
          <xdr:cNvPr id="18" name="Imagem 17">
            <a:extLst>
              <a:ext uri="{FF2B5EF4-FFF2-40B4-BE49-F238E27FC236}">
                <a16:creationId xmlns:a16="http://schemas.microsoft.com/office/drawing/2014/main" id="{00000000-0008-0000-0E00-000012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31784" b="20359"/>
          <a:stretch/>
        </xdr:blipFill>
        <xdr:spPr>
          <a:xfrm>
            <a:off x="4056751" y="0"/>
            <a:ext cx="3836839" cy="1133475"/>
          </a:xfrm>
          <a:prstGeom prst="rect">
            <a:avLst/>
          </a:prstGeom>
        </xdr:spPr>
      </xdr:pic>
      <xdr:sp macro="" textlink="">
        <xdr:nvSpPr>
          <xdr:cNvPr id="19" name="Retângulo 18">
            <a:hlinkClick xmlns:r="http://schemas.openxmlformats.org/officeDocument/2006/relationships" r:id="rId5"/>
            <a:extLst>
              <a:ext uri="{FF2B5EF4-FFF2-40B4-BE49-F238E27FC236}">
                <a16:creationId xmlns:a16="http://schemas.microsoft.com/office/drawing/2014/main" id="{00000000-0008-0000-0E00-000013000000}"/>
              </a:ext>
            </a:extLst>
          </xdr:cNvPr>
          <xdr:cNvSpPr/>
        </xdr:nvSpPr>
        <xdr:spPr>
          <a:xfrm>
            <a:off x="10596282" y="762000"/>
            <a:ext cx="1440000" cy="252000"/>
          </a:xfrm>
          <a:prstGeom prst="rect">
            <a:avLst/>
          </a:prstGeom>
          <a:solidFill>
            <a:srgbClr val="4B9FD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400" b="1">
                <a:latin typeface="Calibri Light" panose="020F0302020204030204" pitchFamily="34" charset="0"/>
              </a:rPr>
              <a:t>Diretório</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573250</xdr:colOff>
      <xdr:row>0</xdr:row>
      <xdr:rowOff>918606</xdr:rowOff>
    </xdr:from>
    <xdr:to>
      <xdr:col>9</xdr:col>
      <xdr:colOff>0</xdr:colOff>
      <xdr:row>0</xdr:row>
      <xdr:rowOff>1157148</xdr:rowOff>
    </xdr:to>
    <xdr:sp macro="" textlink="">
      <xdr:nvSpPr>
        <xdr:cNvPr id="2" name="Retângulo 1">
          <a:extLst>
            <a:ext uri="{FF2B5EF4-FFF2-40B4-BE49-F238E27FC236}">
              <a16:creationId xmlns:a16="http://schemas.microsoft.com/office/drawing/2014/main" id="{00000000-0008-0000-1100-000002000000}"/>
            </a:ext>
          </a:extLst>
        </xdr:cNvPr>
        <xdr:cNvSpPr/>
      </xdr:nvSpPr>
      <xdr:spPr>
        <a:xfrm>
          <a:off x="9778210" y="918606"/>
          <a:ext cx="51590" cy="223302"/>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400" b="1">
            <a:latin typeface="Calibri Light" panose="020F0302020204030204" pitchFamily="34" charset="0"/>
          </a:endParaRPr>
        </a:p>
      </xdr:txBody>
    </xdr:sp>
    <xdr:clientData/>
  </xdr:twoCellAnchor>
  <xdr:twoCellAnchor>
    <xdr:from>
      <xdr:col>1</xdr:col>
      <xdr:colOff>0</xdr:colOff>
      <xdr:row>0</xdr:row>
      <xdr:rowOff>0</xdr:rowOff>
    </xdr:from>
    <xdr:to>
      <xdr:col>12</xdr:col>
      <xdr:colOff>0</xdr:colOff>
      <xdr:row>0</xdr:row>
      <xdr:rowOff>1133475</xdr:rowOff>
    </xdr:to>
    <xdr:grpSp>
      <xdr:nvGrpSpPr>
        <xdr:cNvPr id="12" name="Agrupar 11">
          <a:extLst>
            <a:ext uri="{FF2B5EF4-FFF2-40B4-BE49-F238E27FC236}">
              <a16:creationId xmlns:a16="http://schemas.microsoft.com/office/drawing/2014/main" id="{00000000-0008-0000-1100-00000C000000}"/>
            </a:ext>
          </a:extLst>
        </xdr:cNvPr>
        <xdr:cNvGrpSpPr/>
      </xdr:nvGrpSpPr>
      <xdr:grpSpPr>
        <a:xfrm>
          <a:off x="381000" y="0"/>
          <a:ext cx="12915900" cy="1133475"/>
          <a:chOff x="385482" y="0"/>
          <a:chExt cx="11650800" cy="1133475"/>
        </a:xfrm>
      </xdr:grpSpPr>
      <xdr:pic>
        <xdr:nvPicPr>
          <xdr:cNvPr id="13" name="Imagem 12">
            <a:extLst>
              <a:ext uri="{FF2B5EF4-FFF2-40B4-BE49-F238E27FC236}">
                <a16:creationId xmlns:a16="http://schemas.microsoft.com/office/drawing/2014/main" id="{00000000-0008-0000-11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5482" y="210226"/>
            <a:ext cx="2879051" cy="688137"/>
          </a:xfrm>
          <a:prstGeom prst="rect">
            <a:avLst/>
          </a:prstGeom>
        </xdr:spPr>
      </xdr:pic>
      <xdr:pic>
        <xdr:nvPicPr>
          <xdr:cNvPr id="14" name="Imagem 13">
            <a:extLst>
              <a:ext uri="{FF2B5EF4-FFF2-40B4-BE49-F238E27FC236}">
                <a16:creationId xmlns:a16="http://schemas.microsoft.com/office/drawing/2014/main" id="{00000000-0008-0000-1100-00000E00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9685037" y="187179"/>
            <a:ext cx="1590842" cy="407631"/>
          </a:xfrm>
          <a:prstGeom prst="rect">
            <a:avLst/>
          </a:prstGeom>
          <a:noFill/>
          <a:ln>
            <a:noFill/>
          </a:ln>
        </xdr:spPr>
      </xdr:pic>
      <xdr:sp macro="" textlink="">
        <xdr:nvSpPr>
          <xdr:cNvPr id="15" name="Retângulo 14">
            <a:hlinkClick xmlns:r="http://schemas.openxmlformats.org/officeDocument/2006/relationships" r:id="rId3"/>
            <a:extLst>
              <a:ext uri="{FF2B5EF4-FFF2-40B4-BE49-F238E27FC236}">
                <a16:creationId xmlns:a16="http://schemas.microsoft.com/office/drawing/2014/main" id="{00000000-0008-0000-1100-00000F000000}"/>
              </a:ext>
            </a:extLst>
          </xdr:cNvPr>
          <xdr:cNvSpPr/>
        </xdr:nvSpPr>
        <xdr:spPr>
          <a:xfrm>
            <a:off x="9091265" y="759468"/>
            <a:ext cx="1440000" cy="252000"/>
          </a:xfrm>
          <a:prstGeom prst="rect">
            <a:avLst/>
          </a:prstGeom>
          <a:solidFill>
            <a:srgbClr val="4B9FD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400" b="1">
                <a:latin typeface="Calibri Light" panose="020F0302020204030204" pitchFamily="34" charset="0"/>
              </a:rPr>
              <a:t>Instruções</a:t>
            </a:r>
          </a:p>
        </xdr:txBody>
      </xdr:sp>
      <xdr:pic>
        <xdr:nvPicPr>
          <xdr:cNvPr id="16" name="Imagem 15">
            <a:extLst>
              <a:ext uri="{FF2B5EF4-FFF2-40B4-BE49-F238E27FC236}">
                <a16:creationId xmlns:a16="http://schemas.microsoft.com/office/drawing/2014/main" id="{00000000-0008-0000-1100-000010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31784" b="20359"/>
          <a:stretch/>
        </xdr:blipFill>
        <xdr:spPr>
          <a:xfrm>
            <a:off x="4056751" y="0"/>
            <a:ext cx="3836839" cy="1133475"/>
          </a:xfrm>
          <a:prstGeom prst="rect">
            <a:avLst/>
          </a:prstGeom>
        </xdr:spPr>
      </xdr:pic>
      <xdr:sp macro="" textlink="">
        <xdr:nvSpPr>
          <xdr:cNvPr id="17" name="Retângulo 16">
            <a:hlinkClick xmlns:r="http://schemas.openxmlformats.org/officeDocument/2006/relationships" r:id="rId5"/>
            <a:extLst>
              <a:ext uri="{FF2B5EF4-FFF2-40B4-BE49-F238E27FC236}">
                <a16:creationId xmlns:a16="http://schemas.microsoft.com/office/drawing/2014/main" id="{00000000-0008-0000-1100-000011000000}"/>
              </a:ext>
            </a:extLst>
          </xdr:cNvPr>
          <xdr:cNvSpPr/>
        </xdr:nvSpPr>
        <xdr:spPr>
          <a:xfrm>
            <a:off x="10596282" y="762000"/>
            <a:ext cx="1440000" cy="252000"/>
          </a:xfrm>
          <a:prstGeom prst="rect">
            <a:avLst/>
          </a:prstGeom>
          <a:solidFill>
            <a:srgbClr val="4B9FD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400" b="1">
                <a:latin typeface="Calibri Light" panose="020F0302020204030204" pitchFamily="34" charset="0"/>
              </a:rPr>
              <a:t>Diretório</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573250</xdr:colOff>
      <xdr:row>0</xdr:row>
      <xdr:rowOff>918606</xdr:rowOff>
    </xdr:from>
    <xdr:to>
      <xdr:col>9</xdr:col>
      <xdr:colOff>0</xdr:colOff>
      <xdr:row>0</xdr:row>
      <xdr:rowOff>1157148</xdr:rowOff>
    </xdr:to>
    <xdr:sp macro="" textlink="">
      <xdr:nvSpPr>
        <xdr:cNvPr id="2" name="Retângulo 1">
          <a:extLst>
            <a:ext uri="{FF2B5EF4-FFF2-40B4-BE49-F238E27FC236}">
              <a16:creationId xmlns:a16="http://schemas.microsoft.com/office/drawing/2014/main" id="{00000000-0008-0000-1200-000002000000}"/>
            </a:ext>
          </a:extLst>
        </xdr:cNvPr>
        <xdr:cNvSpPr/>
      </xdr:nvSpPr>
      <xdr:spPr>
        <a:xfrm>
          <a:off x="7250275" y="918606"/>
          <a:ext cx="36350" cy="238542"/>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400" b="1">
            <a:latin typeface="Calibri Light" panose="020F0302020204030204" pitchFamily="34" charset="0"/>
          </a:endParaRPr>
        </a:p>
      </xdr:txBody>
    </xdr:sp>
    <xdr:clientData/>
  </xdr:twoCellAnchor>
  <xdr:twoCellAnchor>
    <xdr:from>
      <xdr:col>8</xdr:col>
      <xdr:colOff>573250</xdr:colOff>
      <xdr:row>0</xdr:row>
      <xdr:rowOff>918606</xdr:rowOff>
    </xdr:from>
    <xdr:to>
      <xdr:col>9</xdr:col>
      <xdr:colOff>0</xdr:colOff>
      <xdr:row>0</xdr:row>
      <xdr:rowOff>1157148</xdr:rowOff>
    </xdr:to>
    <xdr:sp macro="" textlink="">
      <xdr:nvSpPr>
        <xdr:cNvPr id="5" name="Retângulo 4">
          <a:extLst>
            <a:ext uri="{FF2B5EF4-FFF2-40B4-BE49-F238E27FC236}">
              <a16:creationId xmlns:a16="http://schemas.microsoft.com/office/drawing/2014/main" id="{00000000-0008-0000-1200-000005000000}"/>
            </a:ext>
          </a:extLst>
        </xdr:cNvPr>
        <xdr:cNvSpPr/>
      </xdr:nvSpPr>
      <xdr:spPr>
        <a:xfrm>
          <a:off x="9778210" y="918606"/>
          <a:ext cx="51590" cy="223302"/>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400" b="1">
            <a:latin typeface="Calibri Light" panose="020F0302020204030204" pitchFamily="34" charset="0"/>
          </a:endParaRPr>
        </a:p>
      </xdr:txBody>
    </xdr:sp>
    <xdr:clientData/>
  </xdr:twoCellAnchor>
  <xdr:twoCellAnchor>
    <xdr:from>
      <xdr:col>1</xdr:col>
      <xdr:colOff>0</xdr:colOff>
      <xdr:row>0</xdr:row>
      <xdr:rowOff>0</xdr:rowOff>
    </xdr:from>
    <xdr:to>
      <xdr:col>12</xdr:col>
      <xdr:colOff>398600</xdr:colOff>
      <xdr:row>0</xdr:row>
      <xdr:rowOff>1133475</xdr:rowOff>
    </xdr:to>
    <xdr:grpSp>
      <xdr:nvGrpSpPr>
        <xdr:cNvPr id="15" name="Agrupar 14">
          <a:extLst>
            <a:ext uri="{FF2B5EF4-FFF2-40B4-BE49-F238E27FC236}">
              <a16:creationId xmlns:a16="http://schemas.microsoft.com/office/drawing/2014/main" id="{00000000-0008-0000-1200-00000F000000}"/>
            </a:ext>
          </a:extLst>
        </xdr:cNvPr>
        <xdr:cNvGrpSpPr/>
      </xdr:nvGrpSpPr>
      <xdr:grpSpPr>
        <a:xfrm>
          <a:off x="381000" y="0"/>
          <a:ext cx="12171500" cy="1133475"/>
          <a:chOff x="385482" y="0"/>
          <a:chExt cx="11650800" cy="1133475"/>
        </a:xfrm>
      </xdr:grpSpPr>
      <xdr:pic>
        <xdr:nvPicPr>
          <xdr:cNvPr id="16" name="Imagem 15">
            <a:extLst>
              <a:ext uri="{FF2B5EF4-FFF2-40B4-BE49-F238E27FC236}">
                <a16:creationId xmlns:a16="http://schemas.microsoft.com/office/drawing/2014/main" id="{00000000-0008-0000-12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5482" y="210226"/>
            <a:ext cx="2879051" cy="688137"/>
          </a:xfrm>
          <a:prstGeom prst="rect">
            <a:avLst/>
          </a:prstGeom>
        </xdr:spPr>
      </xdr:pic>
      <xdr:pic>
        <xdr:nvPicPr>
          <xdr:cNvPr id="17" name="Imagem 16">
            <a:extLst>
              <a:ext uri="{FF2B5EF4-FFF2-40B4-BE49-F238E27FC236}">
                <a16:creationId xmlns:a16="http://schemas.microsoft.com/office/drawing/2014/main" id="{00000000-0008-0000-1200-00001100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9685037" y="187179"/>
            <a:ext cx="1590842" cy="407631"/>
          </a:xfrm>
          <a:prstGeom prst="rect">
            <a:avLst/>
          </a:prstGeom>
          <a:noFill/>
          <a:ln>
            <a:noFill/>
          </a:ln>
        </xdr:spPr>
      </xdr:pic>
      <xdr:sp macro="" textlink="">
        <xdr:nvSpPr>
          <xdr:cNvPr id="18" name="Retângulo 17">
            <a:hlinkClick xmlns:r="http://schemas.openxmlformats.org/officeDocument/2006/relationships" r:id="rId3"/>
            <a:extLst>
              <a:ext uri="{FF2B5EF4-FFF2-40B4-BE49-F238E27FC236}">
                <a16:creationId xmlns:a16="http://schemas.microsoft.com/office/drawing/2014/main" id="{00000000-0008-0000-1200-000012000000}"/>
              </a:ext>
            </a:extLst>
          </xdr:cNvPr>
          <xdr:cNvSpPr/>
        </xdr:nvSpPr>
        <xdr:spPr>
          <a:xfrm>
            <a:off x="9091265" y="759468"/>
            <a:ext cx="1440000" cy="252000"/>
          </a:xfrm>
          <a:prstGeom prst="rect">
            <a:avLst/>
          </a:prstGeom>
          <a:solidFill>
            <a:srgbClr val="4B9FD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400" b="1">
                <a:latin typeface="Calibri Light" panose="020F0302020204030204" pitchFamily="34" charset="0"/>
              </a:rPr>
              <a:t>Instruções</a:t>
            </a:r>
          </a:p>
        </xdr:txBody>
      </xdr:sp>
      <xdr:pic>
        <xdr:nvPicPr>
          <xdr:cNvPr id="19" name="Imagem 18">
            <a:extLst>
              <a:ext uri="{FF2B5EF4-FFF2-40B4-BE49-F238E27FC236}">
                <a16:creationId xmlns:a16="http://schemas.microsoft.com/office/drawing/2014/main" id="{00000000-0008-0000-1200-000013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31784" b="20359"/>
          <a:stretch/>
        </xdr:blipFill>
        <xdr:spPr>
          <a:xfrm>
            <a:off x="4056751" y="0"/>
            <a:ext cx="3836839" cy="1133475"/>
          </a:xfrm>
          <a:prstGeom prst="rect">
            <a:avLst/>
          </a:prstGeom>
        </xdr:spPr>
      </xdr:pic>
      <xdr:sp macro="" textlink="">
        <xdr:nvSpPr>
          <xdr:cNvPr id="20" name="Retângulo 19">
            <a:hlinkClick xmlns:r="http://schemas.openxmlformats.org/officeDocument/2006/relationships" r:id="rId5"/>
            <a:extLst>
              <a:ext uri="{FF2B5EF4-FFF2-40B4-BE49-F238E27FC236}">
                <a16:creationId xmlns:a16="http://schemas.microsoft.com/office/drawing/2014/main" id="{00000000-0008-0000-1200-000014000000}"/>
              </a:ext>
            </a:extLst>
          </xdr:cNvPr>
          <xdr:cNvSpPr/>
        </xdr:nvSpPr>
        <xdr:spPr>
          <a:xfrm>
            <a:off x="10596282" y="762000"/>
            <a:ext cx="1440000" cy="252000"/>
          </a:xfrm>
          <a:prstGeom prst="rect">
            <a:avLst/>
          </a:prstGeom>
          <a:solidFill>
            <a:srgbClr val="4B9FD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400" b="1">
                <a:latin typeface="Calibri Light" panose="020F0302020204030204" pitchFamily="34" charset="0"/>
              </a:rPr>
              <a:t>Diretório</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17</xdr:col>
      <xdr:colOff>571500</xdr:colOff>
      <xdr:row>92</xdr:row>
      <xdr:rowOff>85725</xdr:rowOff>
    </xdr:from>
    <xdr:to>
      <xdr:col>29</xdr:col>
      <xdr:colOff>218205</xdr:colOff>
      <xdr:row>106</xdr:row>
      <xdr:rowOff>152057</xdr:rowOff>
    </xdr:to>
    <xdr:pic>
      <xdr:nvPicPr>
        <xdr:cNvPr id="2" name="Imagem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cstate="print"/>
        <a:stretch>
          <a:fillRect/>
        </a:stretch>
      </xdr:blipFill>
      <xdr:spPr>
        <a:xfrm>
          <a:off x="16541750" y="9229725"/>
          <a:ext cx="6885705" cy="2733333"/>
        </a:xfrm>
        <a:prstGeom prst="rect">
          <a:avLst/>
        </a:prstGeom>
      </xdr:spPr>
    </xdr:pic>
    <xdr:clientData/>
  </xdr:twoCellAnchor>
  <xdr:twoCellAnchor editAs="oneCell">
    <xdr:from>
      <xdr:col>3</xdr:col>
      <xdr:colOff>2508250</xdr:colOff>
      <xdr:row>109</xdr:row>
      <xdr:rowOff>95250</xdr:rowOff>
    </xdr:from>
    <xdr:to>
      <xdr:col>16</xdr:col>
      <xdr:colOff>566091</xdr:colOff>
      <xdr:row>121</xdr:row>
      <xdr:rowOff>104488</xdr:rowOff>
    </xdr:to>
    <xdr:pic>
      <xdr:nvPicPr>
        <xdr:cNvPr id="3" name="Imagem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2" cstate="print"/>
        <a:stretch>
          <a:fillRect/>
        </a:stretch>
      </xdr:blipFill>
      <xdr:spPr>
        <a:xfrm>
          <a:off x="7270750" y="12477750"/>
          <a:ext cx="7860308" cy="2295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222269</xdr:colOff>
      <xdr:row>14</xdr:row>
      <xdr:rowOff>31750</xdr:rowOff>
    </xdr:from>
    <xdr:to>
      <xdr:col>11</xdr:col>
      <xdr:colOff>251540</xdr:colOff>
      <xdr:row>21</xdr:row>
      <xdr:rowOff>73075</xdr:rowOff>
    </xdr:to>
    <xdr:pic>
      <xdr:nvPicPr>
        <xdr:cNvPr id="3" name="Imagem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8861444" y="3143250"/>
          <a:ext cx="2467671" cy="1412925"/>
        </a:xfrm>
        <a:prstGeom prst="rect">
          <a:avLst/>
        </a:prstGeom>
      </xdr:spPr>
    </xdr:pic>
    <xdr:clientData/>
  </xdr:twoCellAnchor>
  <xdr:twoCellAnchor>
    <xdr:from>
      <xdr:col>1</xdr:col>
      <xdr:colOff>0</xdr:colOff>
      <xdr:row>0</xdr:row>
      <xdr:rowOff>210226</xdr:rowOff>
    </xdr:from>
    <xdr:to>
      <xdr:col>2</xdr:col>
      <xdr:colOff>2513291</xdr:colOff>
      <xdr:row>0</xdr:row>
      <xdr:rowOff>898363</xdr:rowOff>
    </xdr:to>
    <xdr:pic>
      <xdr:nvPicPr>
        <xdr:cNvPr id="11" name="Imagem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060" y="210226"/>
          <a:ext cx="2879051" cy="688137"/>
        </a:xfrm>
        <a:prstGeom prst="rect">
          <a:avLst/>
        </a:prstGeom>
      </xdr:spPr>
    </xdr:pic>
    <xdr:clientData/>
  </xdr:twoCellAnchor>
  <xdr:twoCellAnchor>
    <xdr:from>
      <xdr:col>7</xdr:col>
      <xdr:colOff>363985</xdr:colOff>
      <xdr:row>0</xdr:row>
      <xdr:rowOff>151320</xdr:rowOff>
    </xdr:from>
    <xdr:to>
      <xdr:col>10</xdr:col>
      <xdr:colOff>80307</xdr:colOff>
      <xdr:row>0</xdr:row>
      <xdr:rowOff>558951</xdr:rowOff>
    </xdr:to>
    <xdr:pic>
      <xdr:nvPicPr>
        <xdr:cNvPr id="12" name="Imagem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9256525" y="151320"/>
          <a:ext cx="1590842" cy="407631"/>
        </a:xfrm>
        <a:prstGeom prst="rect">
          <a:avLst/>
        </a:prstGeom>
        <a:noFill/>
        <a:ln>
          <a:noFill/>
        </a:ln>
      </xdr:spPr>
    </xdr:pic>
    <xdr:clientData/>
  </xdr:twoCellAnchor>
  <xdr:twoCellAnchor>
    <xdr:from>
      <xdr:col>7</xdr:col>
      <xdr:colOff>209483</xdr:colOff>
      <xdr:row>0</xdr:row>
      <xdr:rowOff>759468</xdr:rowOff>
    </xdr:from>
    <xdr:to>
      <xdr:col>10</xdr:col>
      <xdr:colOff>331492</xdr:colOff>
      <xdr:row>0</xdr:row>
      <xdr:rowOff>1011468</xdr:rowOff>
    </xdr:to>
    <xdr:sp macro="" textlink="">
      <xdr:nvSpPr>
        <xdr:cNvPr id="15" name="Retângulo 14">
          <a:hlinkClick xmlns:r="http://schemas.openxmlformats.org/officeDocument/2006/relationships" r:id="rId4"/>
          <a:extLst>
            <a:ext uri="{FF2B5EF4-FFF2-40B4-BE49-F238E27FC236}">
              <a16:creationId xmlns:a16="http://schemas.microsoft.com/office/drawing/2014/main" id="{00000000-0008-0000-0000-00000F000000}"/>
            </a:ext>
          </a:extLst>
        </xdr:cNvPr>
        <xdr:cNvSpPr/>
      </xdr:nvSpPr>
      <xdr:spPr>
        <a:xfrm>
          <a:off x="9102023" y="759468"/>
          <a:ext cx="1996529" cy="252000"/>
        </a:xfrm>
        <a:prstGeom prst="rect">
          <a:avLst/>
        </a:prstGeom>
        <a:solidFill>
          <a:srgbClr val="4B9FD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400" b="1">
              <a:latin typeface="Calibri Light" panose="020F0302020204030204" pitchFamily="34" charset="0"/>
            </a:rPr>
            <a:t>Diretório</a:t>
          </a:r>
        </a:p>
      </xdr:txBody>
    </xdr:sp>
    <xdr:clientData/>
  </xdr:twoCellAnchor>
  <xdr:twoCellAnchor>
    <xdr:from>
      <xdr:col>3</xdr:col>
      <xdr:colOff>470869</xdr:colOff>
      <xdr:row>0</xdr:row>
      <xdr:rowOff>0</xdr:rowOff>
    </xdr:from>
    <xdr:to>
      <xdr:col>6</xdr:col>
      <xdr:colOff>1823588</xdr:colOff>
      <xdr:row>0</xdr:row>
      <xdr:rowOff>1133475</xdr:rowOff>
    </xdr:to>
    <xdr:pic>
      <xdr:nvPicPr>
        <xdr:cNvPr id="16" name="Imagem 15">
          <a:extLst>
            <a:ext uri="{FF2B5EF4-FFF2-40B4-BE49-F238E27FC236}">
              <a16:creationId xmlns:a16="http://schemas.microsoft.com/office/drawing/2014/main" id="{00000000-0008-0000-0000-000010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31784" b="20359"/>
        <a:stretch/>
      </xdr:blipFill>
      <xdr:spPr>
        <a:xfrm>
          <a:off x="3770329" y="0"/>
          <a:ext cx="3836839" cy="1133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210226</xdr:rowOff>
    </xdr:from>
    <xdr:to>
      <xdr:col>5</xdr:col>
      <xdr:colOff>379691</xdr:colOff>
      <xdr:row>0</xdr:row>
      <xdr:rowOff>898363</xdr:rowOff>
    </xdr:to>
    <xdr:pic>
      <xdr:nvPicPr>
        <xdr:cNvPr id="34" name="Imagem 33">
          <a:extLst>
            <a:ext uri="{FF2B5EF4-FFF2-40B4-BE49-F238E27FC236}">
              <a16:creationId xmlns:a16="http://schemas.microsoft.com/office/drawing/2014/main" id="{00000000-0008-0000-0100-00002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6240" y="210226"/>
          <a:ext cx="2879051" cy="688137"/>
        </a:xfrm>
        <a:prstGeom prst="rect">
          <a:avLst/>
        </a:prstGeom>
      </xdr:spPr>
    </xdr:pic>
    <xdr:clientData/>
  </xdr:twoCellAnchor>
  <xdr:twoCellAnchor>
    <xdr:from>
      <xdr:col>15</xdr:col>
      <xdr:colOff>112525</xdr:colOff>
      <xdr:row>0</xdr:row>
      <xdr:rowOff>151320</xdr:rowOff>
    </xdr:from>
    <xdr:to>
      <xdr:col>17</xdr:col>
      <xdr:colOff>453687</xdr:colOff>
      <xdr:row>0</xdr:row>
      <xdr:rowOff>558951</xdr:rowOff>
    </xdr:to>
    <xdr:pic>
      <xdr:nvPicPr>
        <xdr:cNvPr id="35" name="Imagem 34">
          <a:extLst>
            <a:ext uri="{FF2B5EF4-FFF2-40B4-BE49-F238E27FC236}">
              <a16:creationId xmlns:a16="http://schemas.microsoft.com/office/drawing/2014/main" id="{00000000-0008-0000-0100-00002300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9256525" y="151320"/>
          <a:ext cx="1590842" cy="407631"/>
        </a:xfrm>
        <a:prstGeom prst="rect">
          <a:avLst/>
        </a:prstGeom>
        <a:noFill/>
        <a:ln>
          <a:noFill/>
        </a:ln>
      </xdr:spPr>
    </xdr:pic>
    <xdr:clientData/>
  </xdr:twoCellAnchor>
  <xdr:twoCellAnchor>
    <xdr:from>
      <xdr:col>14</xdr:col>
      <xdr:colOff>582863</xdr:colOff>
      <xdr:row>0</xdr:row>
      <xdr:rowOff>759468</xdr:rowOff>
    </xdr:from>
    <xdr:to>
      <xdr:col>18</xdr:col>
      <xdr:colOff>80032</xdr:colOff>
      <xdr:row>0</xdr:row>
      <xdr:rowOff>1011468</xdr:rowOff>
    </xdr:to>
    <xdr:sp macro="" textlink="">
      <xdr:nvSpPr>
        <xdr:cNvPr id="36" name="Retângulo 35">
          <a:hlinkClick xmlns:r="http://schemas.openxmlformats.org/officeDocument/2006/relationships" r:id="rId3"/>
          <a:extLst>
            <a:ext uri="{FF2B5EF4-FFF2-40B4-BE49-F238E27FC236}">
              <a16:creationId xmlns:a16="http://schemas.microsoft.com/office/drawing/2014/main" id="{00000000-0008-0000-0100-000024000000}"/>
            </a:ext>
          </a:extLst>
        </xdr:cNvPr>
        <xdr:cNvSpPr/>
      </xdr:nvSpPr>
      <xdr:spPr>
        <a:xfrm>
          <a:off x="9102023" y="759468"/>
          <a:ext cx="1996529" cy="252000"/>
        </a:xfrm>
        <a:prstGeom prst="rect">
          <a:avLst/>
        </a:prstGeom>
        <a:solidFill>
          <a:srgbClr val="4B9FD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400" b="1">
              <a:latin typeface="Calibri Light" panose="020F0302020204030204" pitchFamily="34" charset="0"/>
            </a:rPr>
            <a:t>Instruções</a:t>
          </a:r>
        </a:p>
      </xdr:txBody>
    </xdr:sp>
    <xdr:clientData/>
  </xdr:twoCellAnchor>
  <xdr:twoCellAnchor>
    <xdr:from>
      <xdr:col>6</xdr:col>
      <xdr:colOff>547069</xdr:colOff>
      <xdr:row>0</xdr:row>
      <xdr:rowOff>0</xdr:rowOff>
    </xdr:from>
    <xdr:to>
      <xdr:col>13</xdr:col>
      <xdr:colOff>10028</xdr:colOff>
      <xdr:row>0</xdr:row>
      <xdr:rowOff>1133475</xdr:rowOff>
    </xdr:to>
    <xdr:pic>
      <xdr:nvPicPr>
        <xdr:cNvPr id="37" name="Imagem 36">
          <a:extLst>
            <a:ext uri="{FF2B5EF4-FFF2-40B4-BE49-F238E27FC236}">
              <a16:creationId xmlns:a16="http://schemas.microsoft.com/office/drawing/2014/main" id="{00000000-0008-0000-0100-000025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31784" b="20359"/>
        <a:stretch/>
      </xdr:blipFill>
      <xdr:spPr>
        <a:xfrm>
          <a:off x="4067509" y="0"/>
          <a:ext cx="3836839" cy="1133475"/>
        </a:xfrm>
        <a:prstGeom prst="rect">
          <a:avLst/>
        </a:prstGeom>
      </xdr:spPr>
    </xdr:pic>
    <xdr:clientData/>
  </xdr:twoCellAnchor>
  <xdr:twoCellAnchor>
    <xdr:from>
      <xdr:col>3</xdr:col>
      <xdr:colOff>0</xdr:colOff>
      <xdr:row>4</xdr:row>
      <xdr:rowOff>133350</xdr:rowOff>
    </xdr:from>
    <xdr:to>
      <xdr:col>6</xdr:col>
      <xdr:colOff>331200</xdr:colOff>
      <xdr:row>7</xdr:row>
      <xdr:rowOff>138975</xdr:rowOff>
    </xdr:to>
    <xdr:sp macro="" textlink="">
      <xdr:nvSpPr>
        <xdr:cNvPr id="31" name="Retângulo de cantos arredondados 1">
          <a:hlinkClick xmlns:r="http://schemas.openxmlformats.org/officeDocument/2006/relationships" r:id="rId5"/>
          <a:extLst>
            <a:ext uri="{FF2B5EF4-FFF2-40B4-BE49-F238E27FC236}">
              <a16:creationId xmlns:a16="http://schemas.microsoft.com/office/drawing/2014/main" id="{00000000-0008-0000-0100-00001F000000}"/>
            </a:ext>
          </a:extLst>
        </xdr:cNvPr>
        <xdr:cNvSpPr/>
      </xdr:nvSpPr>
      <xdr:spPr>
        <a:xfrm>
          <a:off x="990600" y="1819275"/>
          <a:ext cx="2160000" cy="720000"/>
        </a:xfrm>
        <a:prstGeom prst="round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latin typeface="Calibri Light" panose="020F0302020204030204" pitchFamily="34" charset="0"/>
            </a:rPr>
            <a:t>Etanol</a:t>
          </a:r>
          <a:r>
            <a:rPr lang="pt-BR" sz="1200" b="1" baseline="0">
              <a:latin typeface="Calibri Light" panose="020F0302020204030204" pitchFamily="34" charset="0"/>
            </a:rPr>
            <a:t>  combustível de primeira geração produzido a </a:t>
          </a:r>
          <a:r>
            <a:rPr lang="pt-BR" sz="1100" b="1" baseline="0">
              <a:latin typeface="Calibri Light" panose="020F0302020204030204" pitchFamily="34" charset="0"/>
            </a:rPr>
            <a:t>partir de </a:t>
          </a:r>
          <a:r>
            <a:rPr lang="pt-BR" sz="1200" b="1" baseline="0">
              <a:latin typeface="Calibri Light" panose="020F0302020204030204" pitchFamily="34" charset="0"/>
            </a:rPr>
            <a:t>cana-de-açúcar</a:t>
          </a:r>
          <a:endParaRPr lang="pt-BR" sz="1200" b="1">
            <a:latin typeface="Calibri Light" panose="020F0302020204030204" pitchFamily="34" charset="0"/>
          </a:endParaRPr>
        </a:p>
      </xdr:txBody>
    </xdr:sp>
    <xdr:clientData/>
  </xdr:twoCellAnchor>
  <xdr:twoCellAnchor>
    <xdr:from>
      <xdr:col>3</xdr:col>
      <xdr:colOff>0</xdr:colOff>
      <xdr:row>8</xdr:row>
      <xdr:rowOff>14288</xdr:rowOff>
    </xdr:from>
    <xdr:to>
      <xdr:col>6</xdr:col>
      <xdr:colOff>331200</xdr:colOff>
      <xdr:row>11</xdr:row>
      <xdr:rowOff>19913</xdr:rowOff>
    </xdr:to>
    <xdr:sp macro="" textlink="">
      <xdr:nvSpPr>
        <xdr:cNvPr id="32" name="Retângulo de cantos arredondados 17">
          <a:hlinkClick xmlns:r="http://schemas.openxmlformats.org/officeDocument/2006/relationships" r:id="rId6"/>
          <a:extLst>
            <a:ext uri="{FF2B5EF4-FFF2-40B4-BE49-F238E27FC236}">
              <a16:creationId xmlns:a16="http://schemas.microsoft.com/office/drawing/2014/main" id="{00000000-0008-0000-0100-000020000000}"/>
            </a:ext>
          </a:extLst>
        </xdr:cNvPr>
        <xdr:cNvSpPr/>
      </xdr:nvSpPr>
      <xdr:spPr>
        <a:xfrm>
          <a:off x="990600" y="2652713"/>
          <a:ext cx="2160000" cy="720000"/>
        </a:xfrm>
        <a:prstGeom prst="roundRect">
          <a:avLst/>
        </a:prstGeom>
        <a:solidFill>
          <a:srgbClr val="2D70C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latin typeface="Calibri Light" panose="020F0302020204030204" pitchFamily="34" charset="0"/>
            </a:rPr>
            <a:t>Etanol</a:t>
          </a:r>
          <a:r>
            <a:rPr lang="pt-BR" sz="1200" b="1" baseline="0">
              <a:latin typeface="Calibri Light" panose="020F0302020204030204" pitchFamily="34" charset="0"/>
            </a:rPr>
            <a:t> combustível de primeira geração produzido a partir de milho</a:t>
          </a:r>
          <a:endParaRPr lang="pt-BR" sz="1200" b="1">
            <a:latin typeface="Calibri Light" panose="020F0302020204030204" pitchFamily="34" charset="0"/>
          </a:endParaRPr>
        </a:p>
      </xdr:txBody>
    </xdr:sp>
    <xdr:clientData/>
  </xdr:twoCellAnchor>
  <xdr:twoCellAnchor>
    <xdr:from>
      <xdr:col>3</xdr:col>
      <xdr:colOff>9525</xdr:colOff>
      <xdr:row>11</xdr:row>
      <xdr:rowOff>133350</xdr:rowOff>
    </xdr:from>
    <xdr:to>
      <xdr:col>6</xdr:col>
      <xdr:colOff>340725</xdr:colOff>
      <xdr:row>14</xdr:row>
      <xdr:rowOff>138975</xdr:rowOff>
    </xdr:to>
    <xdr:sp macro="" textlink="">
      <xdr:nvSpPr>
        <xdr:cNvPr id="33" name="Retângulo de cantos arredondados 17">
          <a:hlinkClick xmlns:r="http://schemas.openxmlformats.org/officeDocument/2006/relationships" r:id="rId7"/>
          <a:extLst>
            <a:ext uri="{FF2B5EF4-FFF2-40B4-BE49-F238E27FC236}">
              <a16:creationId xmlns:a16="http://schemas.microsoft.com/office/drawing/2014/main" id="{00000000-0008-0000-0100-000021000000}"/>
            </a:ext>
          </a:extLst>
        </xdr:cNvPr>
        <xdr:cNvSpPr/>
      </xdr:nvSpPr>
      <xdr:spPr>
        <a:xfrm>
          <a:off x="1000125" y="3486150"/>
          <a:ext cx="2160000" cy="720000"/>
        </a:xfrm>
        <a:prstGeom prst="roundRect">
          <a:avLst/>
        </a:prstGeom>
        <a:solidFill>
          <a:srgbClr val="2D70C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50" b="1">
              <a:latin typeface="Calibri Light" panose="020F0302020204030204" pitchFamily="34" charset="0"/>
            </a:rPr>
            <a:t>Etanol combustível de primeira geração produzido a partir de cana-de-açúcar</a:t>
          </a:r>
          <a:r>
            <a:rPr lang="pt-BR" sz="1150" b="1" baseline="0">
              <a:latin typeface="Calibri Light" panose="020F0302020204030204" pitchFamily="34" charset="0"/>
            </a:rPr>
            <a:t> e milho em usinas integradas</a:t>
          </a:r>
          <a:endParaRPr lang="pt-BR" sz="1150" b="1">
            <a:latin typeface="Calibri Light" panose="020F0302020204030204" pitchFamily="34" charset="0"/>
          </a:endParaRPr>
        </a:p>
      </xdr:txBody>
    </xdr:sp>
    <xdr:clientData/>
  </xdr:twoCellAnchor>
  <xdr:twoCellAnchor>
    <xdr:from>
      <xdr:col>3</xdr:col>
      <xdr:colOff>28575</xdr:colOff>
      <xdr:row>15</xdr:row>
      <xdr:rowOff>14287</xdr:rowOff>
    </xdr:from>
    <xdr:to>
      <xdr:col>6</xdr:col>
      <xdr:colOff>359775</xdr:colOff>
      <xdr:row>18</xdr:row>
      <xdr:rowOff>19912</xdr:rowOff>
    </xdr:to>
    <xdr:sp macro="" textlink="">
      <xdr:nvSpPr>
        <xdr:cNvPr id="38" name="Retângulo de cantos arredondados 20">
          <a:hlinkClick xmlns:r="http://schemas.openxmlformats.org/officeDocument/2006/relationships" r:id="rId8"/>
          <a:extLst>
            <a:ext uri="{FF2B5EF4-FFF2-40B4-BE49-F238E27FC236}">
              <a16:creationId xmlns:a16="http://schemas.microsoft.com/office/drawing/2014/main" id="{00000000-0008-0000-0100-000026000000}"/>
            </a:ext>
          </a:extLst>
        </xdr:cNvPr>
        <xdr:cNvSpPr/>
      </xdr:nvSpPr>
      <xdr:spPr>
        <a:xfrm>
          <a:off x="1019175" y="4319587"/>
          <a:ext cx="2160000" cy="720000"/>
        </a:xfrm>
        <a:prstGeom prst="roundRect">
          <a:avLst/>
        </a:prstGeom>
        <a:solidFill>
          <a:srgbClr val="4382D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solidFill>
                <a:schemeClr val="lt1"/>
              </a:solidFill>
              <a:effectLst/>
              <a:latin typeface="+mn-lt"/>
              <a:ea typeface="+mn-ea"/>
              <a:cs typeface="+mn-cs"/>
            </a:rPr>
            <a:t>Etanol</a:t>
          </a:r>
          <a:r>
            <a:rPr lang="pt-BR" sz="1100" b="1" baseline="0">
              <a:solidFill>
                <a:schemeClr val="lt1"/>
              </a:solidFill>
              <a:effectLst/>
              <a:latin typeface="+mn-lt"/>
              <a:ea typeface="+mn-ea"/>
              <a:cs typeface="+mn-cs"/>
            </a:rPr>
            <a:t> combustível importado de primeira geração produzido a partir de milho</a:t>
          </a:r>
          <a:endParaRPr lang="pt-BR" sz="1400">
            <a:effectLst/>
          </a:endParaRPr>
        </a:p>
      </xdr:txBody>
    </xdr:sp>
    <xdr:clientData/>
  </xdr:twoCellAnchor>
  <xdr:twoCellAnchor>
    <xdr:from>
      <xdr:col>3</xdr:col>
      <xdr:colOff>28575</xdr:colOff>
      <xdr:row>18</xdr:row>
      <xdr:rowOff>133350</xdr:rowOff>
    </xdr:from>
    <xdr:to>
      <xdr:col>6</xdr:col>
      <xdr:colOff>359775</xdr:colOff>
      <xdr:row>21</xdr:row>
      <xdr:rowOff>138975</xdr:rowOff>
    </xdr:to>
    <xdr:sp macro="" textlink="">
      <xdr:nvSpPr>
        <xdr:cNvPr id="39" name="Retângulo de cantos arredondados 28">
          <a:hlinkClick xmlns:r="http://schemas.openxmlformats.org/officeDocument/2006/relationships" r:id="rId9"/>
          <a:extLst>
            <a:ext uri="{FF2B5EF4-FFF2-40B4-BE49-F238E27FC236}">
              <a16:creationId xmlns:a16="http://schemas.microsoft.com/office/drawing/2014/main" id="{00000000-0008-0000-0100-000027000000}"/>
            </a:ext>
          </a:extLst>
        </xdr:cNvPr>
        <xdr:cNvSpPr/>
      </xdr:nvSpPr>
      <xdr:spPr>
        <a:xfrm>
          <a:off x="1019175" y="5153025"/>
          <a:ext cx="2160000" cy="720000"/>
        </a:xfrm>
        <a:prstGeom prst="roundRect">
          <a:avLst/>
        </a:prstGeom>
        <a:solidFill>
          <a:srgbClr val="6F9FD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pt-BR" sz="1200" b="1">
              <a:latin typeface="Calibri Light" panose="020F0302020204030204" pitchFamily="34" charset="0"/>
            </a:rPr>
            <a:t>Etanol combustível de segunda geração</a:t>
          </a:r>
        </a:p>
      </xdr:txBody>
    </xdr:sp>
    <xdr:clientData/>
  </xdr:twoCellAnchor>
  <xdr:twoCellAnchor>
    <xdr:from>
      <xdr:col>7</xdr:col>
      <xdr:colOff>304800</xdr:colOff>
      <xdr:row>4</xdr:row>
      <xdr:rowOff>123825</xdr:rowOff>
    </xdr:from>
    <xdr:to>
      <xdr:col>11</xdr:col>
      <xdr:colOff>26400</xdr:colOff>
      <xdr:row>7</xdr:row>
      <xdr:rowOff>129450</xdr:rowOff>
    </xdr:to>
    <xdr:sp macro="" textlink="">
      <xdr:nvSpPr>
        <xdr:cNvPr id="40" name="Retângulo de cantos arredondados 17">
          <a:hlinkClick xmlns:r="http://schemas.openxmlformats.org/officeDocument/2006/relationships" r:id="rId10"/>
          <a:extLst>
            <a:ext uri="{FF2B5EF4-FFF2-40B4-BE49-F238E27FC236}">
              <a16:creationId xmlns:a16="http://schemas.microsoft.com/office/drawing/2014/main" id="{00000000-0008-0000-0100-000028000000}"/>
            </a:ext>
          </a:extLst>
        </xdr:cNvPr>
        <xdr:cNvSpPr/>
      </xdr:nvSpPr>
      <xdr:spPr>
        <a:xfrm>
          <a:off x="3733800" y="1809750"/>
          <a:ext cx="2160000" cy="720000"/>
        </a:xfrm>
        <a:prstGeom prst="roundRect">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latin typeface="Calibri Light" panose="020F0302020204030204" pitchFamily="34" charset="0"/>
            </a:rPr>
            <a:t>Etanol  combustível produzido em</a:t>
          </a:r>
          <a:r>
            <a:rPr lang="pt-BR" sz="1200" b="1" baseline="0">
              <a:latin typeface="Calibri Light" panose="020F0302020204030204" pitchFamily="34" charset="0"/>
            </a:rPr>
            <a:t> usina integrada</a:t>
          </a:r>
          <a:endParaRPr lang="pt-BR" sz="1200" b="1">
            <a:latin typeface="Calibri Light" panose="020F0302020204030204" pitchFamily="34" charset="0"/>
          </a:endParaRPr>
        </a:p>
      </xdr:txBody>
    </xdr:sp>
    <xdr:clientData/>
  </xdr:twoCellAnchor>
  <xdr:twoCellAnchor>
    <xdr:from>
      <xdr:col>7</xdr:col>
      <xdr:colOff>304800</xdr:colOff>
      <xdr:row>11</xdr:row>
      <xdr:rowOff>107950</xdr:rowOff>
    </xdr:from>
    <xdr:to>
      <xdr:col>11</xdr:col>
      <xdr:colOff>26400</xdr:colOff>
      <xdr:row>14</xdr:row>
      <xdr:rowOff>113575</xdr:rowOff>
    </xdr:to>
    <xdr:sp macro="" textlink="">
      <xdr:nvSpPr>
        <xdr:cNvPr id="41" name="Retângulo de cantos arredondados 29">
          <a:hlinkClick xmlns:r="http://schemas.openxmlformats.org/officeDocument/2006/relationships" r:id="rId11"/>
          <a:extLst>
            <a:ext uri="{FF2B5EF4-FFF2-40B4-BE49-F238E27FC236}">
              <a16:creationId xmlns:a16="http://schemas.microsoft.com/office/drawing/2014/main" id="{00000000-0008-0000-0100-000029000000}"/>
            </a:ext>
          </a:extLst>
        </xdr:cNvPr>
        <xdr:cNvSpPr/>
      </xdr:nvSpPr>
      <xdr:spPr>
        <a:xfrm>
          <a:off x="3733800" y="3460750"/>
          <a:ext cx="2160000" cy="720000"/>
        </a:xfrm>
        <a:prstGeom prst="roundRect">
          <a:avLst/>
        </a:prstGeom>
        <a:solidFill>
          <a:srgbClr val="A8C61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400" b="1">
              <a:latin typeface="Calibri Light" panose="020F0302020204030204" pitchFamily="34" charset="0"/>
            </a:rPr>
            <a:t>Biodiesel </a:t>
          </a:r>
        </a:p>
      </xdr:txBody>
    </xdr:sp>
    <xdr:clientData/>
  </xdr:twoCellAnchor>
  <xdr:twoCellAnchor>
    <xdr:from>
      <xdr:col>7</xdr:col>
      <xdr:colOff>304800</xdr:colOff>
      <xdr:row>7</xdr:row>
      <xdr:rowOff>234950</xdr:rowOff>
    </xdr:from>
    <xdr:to>
      <xdr:col>11</xdr:col>
      <xdr:colOff>26400</xdr:colOff>
      <xdr:row>11</xdr:row>
      <xdr:rowOff>2450</xdr:rowOff>
    </xdr:to>
    <xdr:sp macro="" textlink="">
      <xdr:nvSpPr>
        <xdr:cNvPr id="51" name="Retângulo de cantos arredondados 19">
          <a:hlinkClick xmlns:r="http://schemas.openxmlformats.org/officeDocument/2006/relationships" r:id="rId12"/>
          <a:extLst>
            <a:ext uri="{FF2B5EF4-FFF2-40B4-BE49-F238E27FC236}">
              <a16:creationId xmlns:a16="http://schemas.microsoft.com/office/drawing/2014/main" id="{00000000-0008-0000-0100-000033000000}"/>
            </a:ext>
          </a:extLst>
        </xdr:cNvPr>
        <xdr:cNvSpPr/>
      </xdr:nvSpPr>
      <xdr:spPr>
        <a:xfrm>
          <a:off x="3733800" y="2635250"/>
          <a:ext cx="2160000" cy="720000"/>
        </a:xfrm>
        <a:prstGeom prst="roundRect">
          <a:avLst/>
        </a:prstGeom>
        <a:solidFill>
          <a:srgbClr val="00B1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latin typeface="Calibri Light" panose="020F0302020204030204" pitchFamily="34" charset="0"/>
            </a:rPr>
            <a:t>Combustíveis alternativos </a:t>
          </a:r>
          <a:r>
            <a:rPr lang="pt-BR" sz="1100" b="1" baseline="0">
              <a:latin typeface="Calibri Light" panose="020F0302020204030204" pitchFamily="34" charset="0"/>
            </a:rPr>
            <a:t>sintetizados por ácidos graxos e ésteres hidroprocessados (HEFA) de soja</a:t>
          </a:r>
          <a:endParaRPr lang="pt-BR" sz="1100" b="1">
            <a:latin typeface="Calibri Light" panose="020F0302020204030204" pitchFamily="34" charset="0"/>
          </a:endParaRPr>
        </a:p>
      </xdr:txBody>
    </xdr:sp>
    <xdr:clientData/>
  </xdr:twoCellAnchor>
  <xdr:twoCellAnchor>
    <xdr:from>
      <xdr:col>7</xdr:col>
      <xdr:colOff>304800</xdr:colOff>
      <xdr:row>14</xdr:row>
      <xdr:rowOff>219075</xdr:rowOff>
    </xdr:from>
    <xdr:to>
      <xdr:col>11</xdr:col>
      <xdr:colOff>26400</xdr:colOff>
      <xdr:row>17</xdr:row>
      <xdr:rowOff>224700</xdr:rowOff>
    </xdr:to>
    <xdr:sp macro="" textlink="">
      <xdr:nvSpPr>
        <xdr:cNvPr id="52" name="Retângulo de cantos arredondados 31">
          <a:hlinkClick xmlns:r="http://schemas.openxmlformats.org/officeDocument/2006/relationships" r:id="rId13"/>
          <a:extLst>
            <a:ext uri="{FF2B5EF4-FFF2-40B4-BE49-F238E27FC236}">
              <a16:creationId xmlns:a16="http://schemas.microsoft.com/office/drawing/2014/main" id="{00000000-0008-0000-0100-000034000000}"/>
            </a:ext>
          </a:extLst>
        </xdr:cNvPr>
        <xdr:cNvSpPr/>
      </xdr:nvSpPr>
      <xdr:spPr>
        <a:xfrm>
          <a:off x="3733800" y="4286250"/>
          <a:ext cx="2160000" cy="720000"/>
        </a:xfrm>
        <a:prstGeom prst="roundRect">
          <a:avLst/>
        </a:prstGeom>
        <a:solidFill>
          <a:srgbClr val="FFBA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400" b="1">
              <a:latin typeface="Calibri Light" panose="020F0302020204030204" pitchFamily="34" charset="0"/>
            </a:rPr>
            <a:t>Biometano</a:t>
          </a:r>
        </a:p>
      </xdr:txBody>
    </xdr:sp>
    <xdr:clientData/>
  </xdr:twoCellAnchor>
  <xdr:twoCellAnchor>
    <xdr:from>
      <xdr:col>1</xdr:col>
      <xdr:colOff>57150</xdr:colOff>
      <xdr:row>4</xdr:row>
      <xdr:rowOff>133350</xdr:rowOff>
    </xdr:from>
    <xdr:to>
      <xdr:col>2</xdr:col>
      <xdr:colOff>396150</xdr:colOff>
      <xdr:row>7</xdr:row>
      <xdr:rowOff>138975</xdr:rowOff>
    </xdr:to>
    <xdr:sp macro="" textlink="">
      <xdr:nvSpPr>
        <xdr:cNvPr id="53" name="Retângulo de cantos arredondados 1">
          <a:hlinkClick xmlns:r="http://schemas.openxmlformats.org/officeDocument/2006/relationships" r:id="rId5"/>
          <a:extLst>
            <a:ext uri="{FF2B5EF4-FFF2-40B4-BE49-F238E27FC236}">
              <a16:creationId xmlns:a16="http://schemas.microsoft.com/office/drawing/2014/main" id="{00000000-0008-0000-0100-000035000000}"/>
            </a:ext>
          </a:extLst>
        </xdr:cNvPr>
        <xdr:cNvSpPr/>
      </xdr:nvSpPr>
      <xdr:spPr>
        <a:xfrm>
          <a:off x="57150" y="1819275"/>
          <a:ext cx="720000" cy="720000"/>
        </a:xfrm>
        <a:prstGeom prst="round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latin typeface="Calibri Light" panose="020F0302020204030204" pitchFamily="34" charset="0"/>
            </a:rPr>
            <a:t>E1GC</a:t>
          </a:r>
        </a:p>
      </xdr:txBody>
    </xdr:sp>
    <xdr:clientData/>
  </xdr:twoCellAnchor>
  <xdr:twoCellAnchor>
    <xdr:from>
      <xdr:col>1</xdr:col>
      <xdr:colOff>57150</xdr:colOff>
      <xdr:row>8</xdr:row>
      <xdr:rowOff>14288</xdr:rowOff>
    </xdr:from>
    <xdr:to>
      <xdr:col>2</xdr:col>
      <xdr:colOff>396150</xdr:colOff>
      <xdr:row>11</xdr:row>
      <xdr:rowOff>19913</xdr:rowOff>
    </xdr:to>
    <xdr:sp macro="" textlink="">
      <xdr:nvSpPr>
        <xdr:cNvPr id="54" name="Retângulo de cantos arredondados 17">
          <a:hlinkClick xmlns:r="http://schemas.openxmlformats.org/officeDocument/2006/relationships" r:id="rId6"/>
          <a:extLst>
            <a:ext uri="{FF2B5EF4-FFF2-40B4-BE49-F238E27FC236}">
              <a16:creationId xmlns:a16="http://schemas.microsoft.com/office/drawing/2014/main" id="{00000000-0008-0000-0100-000036000000}"/>
            </a:ext>
          </a:extLst>
        </xdr:cNvPr>
        <xdr:cNvSpPr/>
      </xdr:nvSpPr>
      <xdr:spPr>
        <a:xfrm>
          <a:off x="57150" y="2652713"/>
          <a:ext cx="720000" cy="720000"/>
        </a:xfrm>
        <a:prstGeom prst="roundRect">
          <a:avLst/>
        </a:prstGeom>
        <a:solidFill>
          <a:srgbClr val="2D70C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latin typeface="Calibri Light" panose="020F0302020204030204" pitchFamily="34" charset="0"/>
            </a:rPr>
            <a:t>E1GM</a:t>
          </a:r>
        </a:p>
      </xdr:txBody>
    </xdr:sp>
    <xdr:clientData/>
  </xdr:twoCellAnchor>
  <xdr:twoCellAnchor>
    <xdr:from>
      <xdr:col>1</xdr:col>
      <xdr:colOff>57150</xdr:colOff>
      <xdr:row>11</xdr:row>
      <xdr:rowOff>133350</xdr:rowOff>
    </xdr:from>
    <xdr:to>
      <xdr:col>2</xdr:col>
      <xdr:colOff>396150</xdr:colOff>
      <xdr:row>14</xdr:row>
      <xdr:rowOff>138975</xdr:rowOff>
    </xdr:to>
    <xdr:sp macro="" textlink="">
      <xdr:nvSpPr>
        <xdr:cNvPr id="55" name="Retângulo de cantos arredondados 17">
          <a:hlinkClick xmlns:r="http://schemas.openxmlformats.org/officeDocument/2006/relationships" r:id="rId7"/>
          <a:extLst>
            <a:ext uri="{FF2B5EF4-FFF2-40B4-BE49-F238E27FC236}">
              <a16:creationId xmlns:a16="http://schemas.microsoft.com/office/drawing/2014/main" id="{00000000-0008-0000-0100-000037000000}"/>
            </a:ext>
          </a:extLst>
        </xdr:cNvPr>
        <xdr:cNvSpPr/>
      </xdr:nvSpPr>
      <xdr:spPr>
        <a:xfrm>
          <a:off x="57150" y="3486150"/>
          <a:ext cx="720000" cy="720000"/>
        </a:xfrm>
        <a:prstGeom prst="roundRect">
          <a:avLst/>
        </a:prstGeom>
        <a:solidFill>
          <a:srgbClr val="2D70C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latin typeface="Calibri Light" panose="020F0302020204030204" pitchFamily="34" charset="0"/>
            </a:rPr>
            <a:t>E1G</a:t>
          </a:r>
          <a:r>
            <a:rPr lang="pt-BR" sz="1200" b="1" baseline="0">
              <a:latin typeface="Calibri Light" panose="020F0302020204030204" pitchFamily="34" charset="0"/>
            </a:rPr>
            <a:t> Flex</a:t>
          </a:r>
          <a:endParaRPr lang="pt-BR" sz="1200" b="1">
            <a:latin typeface="Calibri Light" panose="020F0302020204030204" pitchFamily="34" charset="0"/>
          </a:endParaRPr>
        </a:p>
      </xdr:txBody>
    </xdr:sp>
    <xdr:clientData/>
  </xdr:twoCellAnchor>
  <xdr:twoCellAnchor>
    <xdr:from>
      <xdr:col>1</xdr:col>
      <xdr:colOff>57150</xdr:colOff>
      <xdr:row>15</xdr:row>
      <xdr:rowOff>14287</xdr:rowOff>
    </xdr:from>
    <xdr:to>
      <xdr:col>2</xdr:col>
      <xdr:colOff>396150</xdr:colOff>
      <xdr:row>18</xdr:row>
      <xdr:rowOff>19912</xdr:rowOff>
    </xdr:to>
    <xdr:sp macro="" textlink="">
      <xdr:nvSpPr>
        <xdr:cNvPr id="56" name="Retângulo de cantos arredondados 20">
          <a:hlinkClick xmlns:r="http://schemas.openxmlformats.org/officeDocument/2006/relationships" r:id="rId8"/>
          <a:extLst>
            <a:ext uri="{FF2B5EF4-FFF2-40B4-BE49-F238E27FC236}">
              <a16:creationId xmlns:a16="http://schemas.microsoft.com/office/drawing/2014/main" id="{00000000-0008-0000-0100-000038000000}"/>
            </a:ext>
          </a:extLst>
        </xdr:cNvPr>
        <xdr:cNvSpPr/>
      </xdr:nvSpPr>
      <xdr:spPr>
        <a:xfrm>
          <a:off x="57150" y="4319587"/>
          <a:ext cx="720000" cy="720000"/>
        </a:xfrm>
        <a:prstGeom prst="roundRect">
          <a:avLst/>
        </a:prstGeom>
        <a:solidFill>
          <a:srgbClr val="4382D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solidFill>
                <a:schemeClr val="lt1"/>
              </a:solidFill>
              <a:effectLst/>
              <a:latin typeface="+mn-lt"/>
              <a:ea typeface="+mn-ea"/>
              <a:cs typeface="+mn-cs"/>
            </a:rPr>
            <a:t>E1GMI</a:t>
          </a:r>
          <a:endParaRPr lang="pt-BR" sz="1400">
            <a:effectLst/>
          </a:endParaRPr>
        </a:p>
      </xdr:txBody>
    </xdr:sp>
    <xdr:clientData/>
  </xdr:twoCellAnchor>
  <xdr:twoCellAnchor>
    <xdr:from>
      <xdr:col>1</xdr:col>
      <xdr:colOff>57150</xdr:colOff>
      <xdr:row>18</xdr:row>
      <xdr:rowOff>133350</xdr:rowOff>
    </xdr:from>
    <xdr:to>
      <xdr:col>2</xdr:col>
      <xdr:colOff>396150</xdr:colOff>
      <xdr:row>21</xdr:row>
      <xdr:rowOff>138975</xdr:rowOff>
    </xdr:to>
    <xdr:sp macro="" textlink="">
      <xdr:nvSpPr>
        <xdr:cNvPr id="57" name="Retângulo de cantos arredondados 28">
          <a:hlinkClick xmlns:r="http://schemas.openxmlformats.org/officeDocument/2006/relationships" r:id="rId9"/>
          <a:extLst>
            <a:ext uri="{FF2B5EF4-FFF2-40B4-BE49-F238E27FC236}">
              <a16:creationId xmlns:a16="http://schemas.microsoft.com/office/drawing/2014/main" id="{00000000-0008-0000-0100-000039000000}"/>
            </a:ext>
          </a:extLst>
        </xdr:cNvPr>
        <xdr:cNvSpPr/>
      </xdr:nvSpPr>
      <xdr:spPr>
        <a:xfrm>
          <a:off x="57150" y="5153025"/>
          <a:ext cx="720000" cy="720000"/>
        </a:xfrm>
        <a:prstGeom prst="roundRect">
          <a:avLst/>
        </a:prstGeom>
        <a:solidFill>
          <a:srgbClr val="6F9FD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pt-BR" sz="1200" b="1">
              <a:latin typeface="Calibri Light" panose="020F0302020204030204" pitchFamily="34" charset="0"/>
            </a:rPr>
            <a:t>E2G</a:t>
          </a:r>
        </a:p>
      </xdr:txBody>
    </xdr:sp>
    <xdr:clientData/>
  </xdr:twoCellAnchor>
  <xdr:twoCellAnchor>
    <xdr:from>
      <xdr:col>11</xdr:col>
      <xdr:colOff>242887</xdr:colOff>
      <xdr:row>4</xdr:row>
      <xdr:rowOff>104775</xdr:rowOff>
    </xdr:from>
    <xdr:to>
      <xdr:col>12</xdr:col>
      <xdr:colOff>353287</xdr:colOff>
      <xdr:row>7</xdr:row>
      <xdr:rowOff>110400</xdr:rowOff>
    </xdr:to>
    <xdr:sp macro="" textlink="">
      <xdr:nvSpPr>
        <xdr:cNvPr id="58" name="Retângulo de cantos arredondados 17">
          <a:hlinkClick xmlns:r="http://schemas.openxmlformats.org/officeDocument/2006/relationships" r:id="rId10"/>
          <a:extLst>
            <a:ext uri="{FF2B5EF4-FFF2-40B4-BE49-F238E27FC236}">
              <a16:creationId xmlns:a16="http://schemas.microsoft.com/office/drawing/2014/main" id="{00000000-0008-0000-0100-00003A000000}"/>
            </a:ext>
          </a:extLst>
        </xdr:cNvPr>
        <xdr:cNvSpPr/>
      </xdr:nvSpPr>
      <xdr:spPr>
        <a:xfrm>
          <a:off x="6110287" y="1790700"/>
          <a:ext cx="720000" cy="720000"/>
        </a:xfrm>
        <a:prstGeom prst="roundRect">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latin typeface="Calibri Light" panose="020F0302020204030204" pitchFamily="34" charset="0"/>
            </a:rPr>
            <a:t>E1G2G</a:t>
          </a:r>
        </a:p>
      </xdr:txBody>
    </xdr:sp>
    <xdr:clientData/>
  </xdr:twoCellAnchor>
  <xdr:twoCellAnchor>
    <xdr:from>
      <xdr:col>11</xdr:col>
      <xdr:colOff>242887</xdr:colOff>
      <xdr:row>7</xdr:row>
      <xdr:rowOff>228600</xdr:rowOff>
    </xdr:from>
    <xdr:to>
      <xdr:col>12</xdr:col>
      <xdr:colOff>353287</xdr:colOff>
      <xdr:row>10</xdr:row>
      <xdr:rowOff>234225</xdr:rowOff>
    </xdr:to>
    <xdr:sp macro="" textlink="">
      <xdr:nvSpPr>
        <xdr:cNvPr id="59" name="Retângulo de cantos arredondados 19">
          <a:hlinkClick xmlns:r="http://schemas.openxmlformats.org/officeDocument/2006/relationships" r:id="rId12"/>
          <a:extLst>
            <a:ext uri="{FF2B5EF4-FFF2-40B4-BE49-F238E27FC236}">
              <a16:creationId xmlns:a16="http://schemas.microsoft.com/office/drawing/2014/main" id="{00000000-0008-0000-0100-00003B000000}"/>
            </a:ext>
          </a:extLst>
        </xdr:cNvPr>
        <xdr:cNvSpPr/>
      </xdr:nvSpPr>
      <xdr:spPr>
        <a:xfrm>
          <a:off x="6110287" y="2628900"/>
          <a:ext cx="720000" cy="720000"/>
        </a:xfrm>
        <a:prstGeom prst="roundRect">
          <a:avLst/>
        </a:prstGeom>
        <a:solidFill>
          <a:srgbClr val="00B1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latin typeface="Calibri Light" panose="020F0302020204030204" pitchFamily="34" charset="0"/>
            </a:rPr>
            <a:t>CombAlterHEFA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1998325</xdr:colOff>
      <xdr:row>0</xdr:row>
      <xdr:rowOff>785552</xdr:rowOff>
    </xdr:from>
    <xdr:to>
      <xdr:col>10</xdr:col>
      <xdr:colOff>2044044</xdr:colOff>
      <xdr:row>0</xdr:row>
      <xdr:rowOff>1016054</xdr:rowOff>
    </xdr:to>
    <xdr:sp macro="" textlink="">
      <xdr:nvSpPr>
        <xdr:cNvPr id="24" name="Retângulo 23">
          <a:extLst>
            <a:ext uri="{FF2B5EF4-FFF2-40B4-BE49-F238E27FC236}">
              <a16:creationId xmlns:a16="http://schemas.microsoft.com/office/drawing/2014/main" id="{00000000-0008-0000-0200-000018000000}"/>
            </a:ext>
          </a:extLst>
        </xdr:cNvPr>
        <xdr:cNvSpPr/>
      </xdr:nvSpPr>
      <xdr:spPr>
        <a:xfrm flipH="1">
          <a:off x="12556421" y="785552"/>
          <a:ext cx="45719" cy="230502"/>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400" b="1">
            <a:latin typeface="Calibri Light" panose="020F0302020204030204" pitchFamily="34" charset="0"/>
          </a:endParaRPr>
        </a:p>
      </xdr:txBody>
    </xdr:sp>
    <xdr:clientData/>
  </xdr:twoCellAnchor>
  <xdr:twoCellAnchor>
    <xdr:from>
      <xdr:col>1</xdr:col>
      <xdr:colOff>0</xdr:colOff>
      <xdr:row>0</xdr:row>
      <xdr:rowOff>0</xdr:rowOff>
    </xdr:from>
    <xdr:to>
      <xdr:col>10</xdr:col>
      <xdr:colOff>1708941</xdr:colOff>
      <xdr:row>0</xdr:row>
      <xdr:rowOff>1133475</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81000" y="0"/>
          <a:ext cx="10134600" cy="1133475"/>
          <a:chOff x="385482" y="0"/>
          <a:chExt cx="11650800" cy="1133475"/>
        </a:xfrm>
      </xdr:grpSpPr>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5482" y="210226"/>
            <a:ext cx="2879051" cy="688137"/>
          </a:xfrm>
          <a:prstGeom prst="rect">
            <a:avLst/>
          </a:prstGeom>
        </xdr:spPr>
      </xdr:pic>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9685037" y="187179"/>
            <a:ext cx="1590842" cy="407631"/>
          </a:xfrm>
          <a:prstGeom prst="rect">
            <a:avLst/>
          </a:prstGeom>
          <a:noFill/>
          <a:ln>
            <a:noFill/>
          </a:ln>
        </xdr:spPr>
      </xdr:pic>
      <xdr:sp macro="" textlink="">
        <xdr:nvSpPr>
          <xdr:cNvPr id="19" name="Retângulo 18">
            <a:hlinkClick xmlns:r="http://schemas.openxmlformats.org/officeDocument/2006/relationships" r:id="rId3"/>
            <a:extLst>
              <a:ext uri="{FF2B5EF4-FFF2-40B4-BE49-F238E27FC236}">
                <a16:creationId xmlns:a16="http://schemas.microsoft.com/office/drawing/2014/main" id="{00000000-0008-0000-0200-000013000000}"/>
              </a:ext>
            </a:extLst>
          </xdr:cNvPr>
          <xdr:cNvSpPr/>
        </xdr:nvSpPr>
        <xdr:spPr>
          <a:xfrm>
            <a:off x="9091265" y="759468"/>
            <a:ext cx="1440000" cy="252000"/>
          </a:xfrm>
          <a:prstGeom prst="rect">
            <a:avLst/>
          </a:prstGeom>
          <a:solidFill>
            <a:srgbClr val="4B9FD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400" b="1">
                <a:latin typeface="Calibri Light" panose="020F0302020204030204" pitchFamily="34" charset="0"/>
              </a:rPr>
              <a:t>Instruções</a:t>
            </a:r>
          </a:p>
        </xdr:txBody>
      </xdr:sp>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31784" b="20359"/>
          <a:stretch/>
        </xdr:blipFill>
        <xdr:spPr>
          <a:xfrm>
            <a:off x="4056751" y="0"/>
            <a:ext cx="3836839" cy="1133475"/>
          </a:xfrm>
          <a:prstGeom prst="rect">
            <a:avLst/>
          </a:prstGeom>
        </xdr:spPr>
      </xdr:pic>
      <xdr:sp macro="" textlink="">
        <xdr:nvSpPr>
          <xdr:cNvPr id="21" name="Retângulo 20">
            <a:hlinkClick xmlns:r="http://schemas.openxmlformats.org/officeDocument/2006/relationships" r:id="rId5"/>
            <a:extLst>
              <a:ext uri="{FF2B5EF4-FFF2-40B4-BE49-F238E27FC236}">
                <a16:creationId xmlns:a16="http://schemas.microsoft.com/office/drawing/2014/main" id="{00000000-0008-0000-0200-000015000000}"/>
              </a:ext>
            </a:extLst>
          </xdr:cNvPr>
          <xdr:cNvSpPr/>
        </xdr:nvSpPr>
        <xdr:spPr>
          <a:xfrm>
            <a:off x="10596282" y="762000"/>
            <a:ext cx="1440000" cy="252000"/>
          </a:xfrm>
          <a:prstGeom prst="rect">
            <a:avLst/>
          </a:prstGeom>
          <a:solidFill>
            <a:srgbClr val="4B9FD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400" b="1">
                <a:latin typeface="Calibri Light" panose="020F0302020204030204" pitchFamily="34" charset="0"/>
              </a:rPr>
              <a:t>Diretório</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10</xdr:col>
      <xdr:colOff>1708941</xdr:colOff>
      <xdr:row>0</xdr:row>
      <xdr:rowOff>1133475</xdr:rowOff>
    </xdr:to>
    <xdr:grpSp>
      <xdr:nvGrpSpPr>
        <xdr:cNvPr id="17" name="Agrupar 16">
          <a:extLst>
            <a:ext uri="{FF2B5EF4-FFF2-40B4-BE49-F238E27FC236}">
              <a16:creationId xmlns:a16="http://schemas.microsoft.com/office/drawing/2014/main" id="{00000000-0008-0000-0400-000011000000}"/>
            </a:ext>
          </a:extLst>
        </xdr:cNvPr>
        <xdr:cNvGrpSpPr/>
      </xdr:nvGrpSpPr>
      <xdr:grpSpPr>
        <a:xfrm>
          <a:off x="382868" y="0"/>
          <a:ext cx="10486838" cy="1133475"/>
          <a:chOff x="385482" y="0"/>
          <a:chExt cx="11650800" cy="1133475"/>
        </a:xfrm>
      </xdr:grpSpPr>
      <xdr:pic>
        <xdr:nvPicPr>
          <xdr:cNvPr id="18" name="Imagem 17">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5482" y="210226"/>
            <a:ext cx="2879051" cy="688137"/>
          </a:xfrm>
          <a:prstGeom prst="rect">
            <a:avLst/>
          </a:prstGeom>
        </xdr:spPr>
      </xdr:pic>
      <xdr:pic>
        <xdr:nvPicPr>
          <xdr:cNvPr id="19" name="Imagem 18">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9685037" y="187179"/>
            <a:ext cx="1590842" cy="407631"/>
          </a:xfrm>
          <a:prstGeom prst="rect">
            <a:avLst/>
          </a:prstGeom>
          <a:noFill/>
          <a:ln>
            <a:noFill/>
          </a:ln>
        </xdr:spPr>
      </xdr:pic>
      <xdr:sp macro="" textlink="">
        <xdr:nvSpPr>
          <xdr:cNvPr id="20" name="Retângulo 19">
            <a:hlinkClick xmlns:r="http://schemas.openxmlformats.org/officeDocument/2006/relationships" r:id="rId3"/>
            <a:extLst>
              <a:ext uri="{FF2B5EF4-FFF2-40B4-BE49-F238E27FC236}">
                <a16:creationId xmlns:a16="http://schemas.microsoft.com/office/drawing/2014/main" id="{00000000-0008-0000-0400-000014000000}"/>
              </a:ext>
            </a:extLst>
          </xdr:cNvPr>
          <xdr:cNvSpPr/>
        </xdr:nvSpPr>
        <xdr:spPr>
          <a:xfrm>
            <a:off x="9091265" y="759468"/>
            <a:ext cx="1440000" cy="252000"/>
          </a:xfrm>
          <a:prstGeom prst="rect">
            <a:avLst/>
          </a:prstGeom>
          <a:solidFill>
            <a:srgbClr val="4B9FD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400" b="1">
                <a:latin typeface="Calibri Light" panose="020F0302020204030204" pitchFamily="34" charset="0"/>
              </a:rPr>
              <a:t>Instruções</a:t>
            </a:r>
          </a:p>
        </xdr:txBody>
      </xdr:sp>
      <xdr:pic>
        <xdr:nvPicPr>
          <xdr:cNvPr id="21" name="Imagem 20">
            <a:extLst>
              <a:ext uri="{FF2B5EF4-FFF2-40B4-BE49-F238E27FC236}">
                <a16:creationId xmlns:a16="http://schemas.microsoft.com/office/drawing/2014/main" id="{00000000-0008-0000-0400-000015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31784" b="20359"/>
          <a:stretch/>
        </xdr:blipFill>
        <xdr:spPr>
          <a:xfrm>
            <a:off x="4056751" y="0"/>
            <a:ext cx="3836839" cy="1133475"/>
          </a:xfrm>
          <a:prstGeom prst="rect">
            <a:avLst/>
          </a:prstGeom>
        </xdr:spPr>
      </xdr:pic>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400-000016000000}"/>
              </a:ext>
            </a:extLst>
          </xdr:cNvPr>
          <xdr:cNvSpPr/>
        </xdr:nvSpPr>
        <xdr:spPr>
          <a:xfrm>
            <a:off x="10596282" y="762000"/>
            <a:ext cx="1440000" cy="252000"/>
          </a:xfrm>
          <a:prstGeom prst="rect">
            <a:avLst/>
          </a:prstGeom>
          <a:solidFill>
            <a:srgbClr val="4B9FD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400" b="1">
                <a:latin typeface="Calibri Light" panose="020F0302020204030204" pitchFamily="34" charset="0"/>
              </a:rPr>
              <a:t>Diretório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10</xdr:col>
      <xdr:colOff>1422070</xdr:colOff>
      <xdr:row>0</xdr:row>
      <xdr:rowOff>1133475</xdr:rowOff>
    </xdr:to>
    <xdr:grpSp>
      <xdr:nvGrpSpPr>
        <xdr:cNvPr id="15" name="Agrupar 14">
          <a:extLst>
            <a:ext uri="{FF2B5EF4-FFF2-40B4-BE49-F238E27FC236}">
              <a16:creationId xmlns:a16="http://schemas.microsoft.com/office/drawing/2014/main" id="{00000000-0008-0000-0600-00000F000000}"/>
            </a:ext>
          </a:extLst>
        </xdr:cNvPr>
        <xdr:cNvGrpSpPr/>
      </xdr:nvGrpSpPr>
      <xdr:grpSpPr>
        <a:xfrm>
          <a:off x="381000" y="0"/>
          <a:ext cx="12194845" cy="1133475"/>
          <a:chOff x="385482" y="0"/>
          <a:chExt cx="11650800" cy="1133475"/>
        </a:xfrm>
      </xdr:grpSpPr>
      <xdr:pic>
        <xdr:nvPicPr>
          <xdr:cNvPr id="16" name="Imagem 15">
            <a:extLst>
              <a:ext uri="{FF2B5EF4-FFF2-40B4-BE49-F238E27FC236}">
                <a16:creationId xmlns:a16="http://schemas.microsoft.com/office/drawing/2014/main" id="{00000000-0008-0000-06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5482" y="210226"/>
            <a:ext cx="2879051" cy="688137"/>
          </a:xfrm>
          <a:prstGeom prst="rect">
            <a:avLst/>
          </a:prstGeom>
        </xdr:spPr>
      </xdr:pic>
      <xdr:pic>
        <xdr:nvPicPr>
          <xdr:cNvPr id="17" name="Imagem 16">
            <a:extLst>
              <a:ext uri="{FF2B5EF4-FFF2-40B4-BE49-F238E27FC236}">
                <a16:creationId xmlns:a16="http://schemas.microsoft.com/office/drawing/2014/main" id="{00000000-0008-0000-0600-00001100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9685037" y="187179"/>
            <a:ext cx="1590842" cy="407631"/>
          </a:xfrm>
          <a:prstGeom prst="rect">
            <a:avLst/>
          </a:prstGeom>
          <a:noFill/>
          <a:ln>
            <a:noFill/>
          </a:ln>
        </xdr:spPr>
      </xdr:pic>
      <xdr:sp macro="" textlink="">
        <xdr:nvSpPr>
          <xdr:cNvPr id="18" name="Retângulo 17">
            <a:hlinkClick xmlns:r="http://schemas.openxmlformats.org/officeDocument/2006/relationships" r:id="rId3"/>
            <a:extLst>
              <a:ext uri="{FF2B5EF4-FFF2-40B4-BE49-F238E27FC236}">
                <a16:creationId xmlns:a16="http://schemas.microsoft.com/office/drawing/2014/main" id="{00000000-0008-0000-0600-000012000000}"/>
              </a:ext>
            </a:extLst>
          </xdr:cNvPr>
          <xdr:cNvSpPr/>
        </xdr:nvSpPr>
        <xdr:spPr>
          <a:xfrm>
            <a:off x="9091265" y="759468"/>
            <a:ext cx="1440000" cy="252000"/>
          </a:xfrm>
          <a:prstGeom prst="rect">
            <a:avLst/>
          </a:prstGeom>
          <a:solidFill>
            <a:srgbClr val="4B9FD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400" b="1">
                <a:latin typeface="Calibri Light" panose="020F0302020204030204" pitchFamily="34" charset="0"/>
              </a:rPr>
              <a:t>Instruções</a:t>
            </a:r>
          </a:p>
        </xdr:txBody>
      </xdr:sp>
      <xdr:pic>
        <xdr:nvPicPr>
          <xdr:cNvPr id="19" name="Imagem 18">
            <a:extLst>
              <a:ext uri="{FF2B5EF4-FFF2-40B4-BE49-F238E27FC236}">
                <a16:creationId xmlns:a16="http://schemas.microsoft.com/office/drawing/2014/main" id="{00000000-0008-0000-0600-000013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31784" b="20359"/>
          <a:stretch/>
        </xdr:blipFill>
        <xdr:spPr>
          <a:xfrm>
            <a:off x="4056751" y="0"/>
            <a:ext cx="3836839" cy="1133475"/>
          </a:xfrm>
          <a:prstGeom prst="rect">
            <a:avLst/>
          </a:prstGeom>
        </xdr:spPr>
      </xdr:pic>
      <xdr:sp macro="" textlink="">
        <xdr:nvSpPr>
          <xdr:cNvPr id="20" name="Retângulo 19">
            <a:hlinkClick xmlns:r="http://schemas.openxmlformats.org/officeDocument/2006/relationships" r:id="rId5"/>
            <a:extLst>
              <a:ext uri="{FF2B5EF4-FFF2-40B4-BE49-F238E27FC236}">
                <a16:creationId xmlns:a16="http://schemas.microsoft.com/office/drawing/2014/main" id="{00000000-0008-0000-0600-000014000000}"/>
              </a:ext>
            </a:extLst>
          </xdr:cNvPr>
          <xdr:cNvSpPr/>
        </xdr:nvSpPr>
        <xdr:spPr>
          <a:xfrm>
            <a:off x="10596282" y="762000"/>
            <a:ext cx="1440000" cy="252000"/>
          </a:xfrm>
          <a:prstGeom prst="rect">
            <a:avLst/>
          </a:prstGeom>
          <a:solidFill>
            <a:srgbClr val="4B9FD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400" b="1">
                <a:latin typeface="Calibri Light" panose="020F0302020204030204" pitchFamily="34" charset="0"/>
              </a:rPr>
              <a:t>Diretório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10</xdr:col>
      <xdr:colOff>1708941</xdr:colOff>
      <xdr:row>0</xdr:row>
      <xdr:rowOff>1133475</xdr:rowOff>
    </xdr:to>
    <xdr:grpSp>
      <xdr:nvGrpSpPr>
        <xdr:cNvPr id="17" name="Agrupar 16">
          <a:extLst>
            <a:ext uri="{FF2B5EF4-FFF2-40B4-BE49-F238E27FC236}">
              <a16:creationId xmlns:a16="http://schemas.microsoft.com/office/drawing/2014/main" id="{00000000-0008-0000-0800-000011000000}"/>
            </a:ext>
          </a:extLst>
        </xdr:cNvPr>
        <xdr:cNvGrpSpPr/>
      </xdr:nvGrpSpPr>
      <xdr:grpSpPr>
        <a:xfrm>
          <a:off x="381000" y="0"/>
          <a:ext cx="10496550" cy="1133475"/>
          <a:chOff x="385482" y="0"/>
          <a:chExt cx="11650800" cy="1133475"/>
        </a:xfrm>
      </xdr:grpSpPr>
      <xdr:pic>
        <xdr:nvPicPr>
          <xdr:cNvPr id="18" name="Imagem 17">
            <a:extLst>
              <a:ext uri="{FF2B5EF4-FFF2-40B4-BE49-F238E27FC236}">
                <a16:creationId xmlns:a16="http://schemas.microsoft.com/office/drawing/2014/main" id="{00000000-0008-0000-08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5482" y="210226"/>
            <a:ext cx="2879051" cy="688137"/>
          </a:xfrm>
          <a:prstGeom prst="rect">
            <a:avLst/>
          </a:prstGeom>
        </xdr:spPr>
      </xdr:pic>
      <xdr:pic>
        <xdr:nvPicPr>
          <xdr:cNvPr id="19" name="Imagem 18">
            <a:extLst>
              <a:ext uri="{FF2B5EF4-FFF2-40B4-BE49-F238E27FC236}">
                <a16:creationId xmlns:a16="http://schemas.microsoft.com/office/drawing/2014/main" id="{00000000-0008-0000-0800-00001300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9685037" y="187179"/>
            <a:ext cx="1590842" cy="407631"/>
          </a:xfrm>
          <a:prstGeom prst="rect">
            <a:avLst/>
          </a:prstGeom>
          <a:noFill/>
          <a:ln>
            <a:noFill/>
          </a:ln>
        </xdr:spPr>
      </xdr:pic>
      <xdr:sp macro="" textlink="">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9091265" y="759468"/>
            <a:ext cx="1440000" cy="252000"/>
          </a:xfrm>
          <a:prstGeom prst="rect">
            <a:avLst/>
          </a:prstGeom>
          <a:solidFill>
            <a:srgbClr val="4B9FD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400" b="1">
                <a:latin typeface="Calibri Light" panose="020F0302020204030204" pitchFamily="34" charset="0"/>
              </a:rPr>
              <a:t>Instruções</a:t>
            </a:r>
          </a:p>
        </xdr:txBody>
      </xdr:sp>
      <xdr:pic>
        <xdr:nvPicPr>
          <xdr:cNvPr id="21" name="Imagem 20">
            <a:extLst>
              <a:ext uri="{FF2B5EF4-FFF2-40B4-BE49-F238E27FC236}">
                <a16:creationId xmlns:a16="http://schemas.microsoft.com/office/drawing/2014/main" id="{00000000-0008-0000-0800-000015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31784" b="20359"/>
          <a:stretch/>
        </xdr:blipFill>
        <xdr:spPr>
          <a:xfrm>
            <a:off x="4056751" y="0"/>
            <a:ext cx="3836839" cy="1133475"/>
          </a:xfrm>
          <a:prstGeom prst="rect">
            <a:avLst/>
          </a:prstGeom>
        </xdr:spPr>
      </xdr:pic>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10596282" y="762000"/>
            <a:ext cx="1440000" cy="252000"/>
          </a:xfrm>
          <a:prstGeom prst="rect">
            <a:avLst/>
          </a:prstGeom>
          <a:solidFill>
            <a:srgbClr val="4B9FD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400" b="1">
                <a:latin typeface="Calibri Light" panose="020F0302020204030204" pitchFamily="34" charset="0"/>
              </a:rPr>
              <a:t>Diretório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10</xdr:col>
      <xdr:colOff>1287600</xdr:colOff>
      <xdr:row>0</xdr:row>
      <xdr:rowOff>1133475</xdr:rowOff>
    </xdr:to>
    <xdr:grpSp>
      <xdr:nvGrpSpPr>
        <xdr:cNvPr id="10" name="Agrupar 9">
          <a:extLst>
            <a:ext uri="{FF2B5EF4-FFF2-40B4-BE49-F238E27FC236}">
              <a16:creationId xmlns:a16="http://schemas.microsoft.com/office/drawing/2014/main" id="{00000000-0008-0000-0A00-00000A000000}"/>
            </a:ext>
          </a:extLst>
        </xdr:cNvPr>
        <xdr:cNvGrpSpPr/>
      </xdr:nvGrpSpPr>
      <xdr:grpSpPr>
        <a:xfrm>
          <a:off x="381000" y="0"/>
          <a:ext cx="12212775" cy="1133475"/>
          <a:chOff x="385482" y="0"/>
          <a:chExt cx="11650800" cy="1133475"/>
        </a:xfrm>
      </xdr:grpSpPr>
      <xdr:pic>
        <xdr:nvPicPr>
          <xdr:cNvPr id="11" name="Imagem 10">
            <a:extLst>
              <a:ext uri="{FF2B5EF4-FFF2-40B4-BE49-F238E27FC236}">
                <a16:creationId xmlns:a16="http://schemas.microsoft.com/office/drawing/2014/main" id="{00000000-0008-0000-0A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5482" y="210226"/>
            <a:ext cx="2879051" cy="688137"/>
          </a:xfrm>
          <a:prstGeom prst="rect">
            <a:avLst/>
          </a:prstGeom>
        </xdr:spPr>
      </xdr:pic>
      <xdr:pic>
        <xdr:nvPicPr>
          <xdr:cNvPr id="12" name="Imagem 11">
            <a:extLst>
              <a:ext uri="{FF2B5EF4-FFF2-40B4-BE49-F238E27FC236}">
                <a16:creationId xmlns:a16="http://schemas.microsoft.com/office/drawing/2014/main" id="{00000000-0008-0000-0A00-00000C00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9685037" y="187179"/>
            <a:ext cx="1590842" cy="407631"/>
          </a:xfrm>
          <a:prstGeom prst="rect">
            <a:avLst/>
          </a:prstGeom>
          <a:noFill/>
          <a:ln>
            <a:noFill/>
          </a:ln>
        </xdr:spPr>
      </xdr:pic>
      <xdr:sp macro="" textlink="">
        <xdr:nvSpPr>
          <xdr:cNvPr id="13" name="Retângulo 12">
            <a:hlinkClick xmlns:r="http://schemas.openxmlformats.org/officeDocument/2006/relationships" r:id="rId3"/>
            <a:extLst>
              <a:ext uri="{FF2B5EF4-FFF2-40B4-BE49-F238E27FC236}">
                <a16:creationId xmlns:a16="http://schemas.microsoft.com/office/drawing/2014/main" id="{00000000-0008-0000-0A00-00000D000000}"/>
              </a:ext>
            </a:extLst>
          </xdr:cNvPr>
          <xdr:cNvSpPr/>
        </xdr:nvSpPr>
        <xdr:spPr>
          <a:xfrm>
            <a:off x="9091265" y="759468"/>
            <a:ext cx="1440000" cy="252000"/>
          </a:xfrm>
          <a:prstGeom prst="rect">
            <a:avLst/>
          </a:prstGeom>
          <a:solidFill>
            <a:srgbClr val="4B9FD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400" b="1">
                <a:latin typeface="Calibri Light" panose="020F0302020204030204" pitchFamily="34" charset="0"/>
              </a:rPr>
              <a:t>Instruções</a:t>
            </a:r>
          </a:p>
        </xdr:txBody>
      </xdr:sp>
      <xdr:pic>
        <xdr:nvPicPr>
          <xdr:cNvPr id="14" name="Imagem 13">
            <a:extLst>
              <a:ext uri="{FF2B5EF4-FFF2-40B4-BE49-F238E27FC236}">
                <a16:creationId xmlns:a16="http://schemas.microsoft.com/office/drawing/2014/main" id="{00000000-0008-0000-0A00-00000E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31784" b="20359"/>
          <a:stretch/>
        </xdr:blipFill>
        <xdr:spPr>
          <a:xfrm>
            <a:off x="4056751" y="0"/>
            <a:ext cx="3836839" cy="1133475"/>
          </a:xfrm>
          <a:prstGeom prst="rect">
            <a:avLst/>
          </a:prstGeom>
        </xdr:spPr>
      </xdr:pic>
      <xdr:sp macro="" textlink="">
        <xdr:nvSpPr>
          <xdr:cNvPr id="15" name="Retângulo 14">
            <a:hlinkClick xmlns:r="http://schemas.openxmlformats.org/officeDocument/2006/relationships" r:id="rId5"/>
            <a:extLst>
              <a:ext uri="{FF2B5EF4-FFF2-40B4-BE49-F238E27FC236}">
                <a16:creationId xmlns:a16="http://schemas.microsoft.com/office/drawing/2014/main" id="{00000000-0008-0000-0A00-00000F000000}"/>
              </a:ext>
            </a:extLst>
          </xdr:cNvPr>
          <xdr:cNvSpPr/>
        </xdr:nvSpPr>
        <xdr:spPr>
          <a:xfrm>
            <a:off x="10596282" y="762000"/>
            <a:ext cx="1440000" cy="252000"/>
          </a:xfrm>
          <a:prstGeom prst="rect">
            <a:avLst/>
          </a:prstGeom>
          <a:solidFill>
            <a:srgbClr val="4B9FD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400" b="1">
                <a:latin typeface="Calibri Light" panose="020F0302020204030204" pitchFamily="34" charset="0"/>
              </a:rPr>
              <a:t>Diretório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10</xdr:col>
      <xdr:colOff>1287600</xdr:colOff>
      <xdr:row>0</xdr:row>
      <xdr:rowOff>1133475</xdr:rowOff>
    </xdr:to>
    <xdr:grpSp>
      <xdr:nvGrpSpPr>
        <xdr:cNvPr id="10" name="Agrupar 9">
          <a:extLst>
            <a:ext uri="{FF2B5EF4-FFF2-40B4-BE49-F238E27FC236}">
              <a16:creationId xmlns:a16="http://schemas.microsoft.com/office/drawing/2014/main" id="{00000000-0008-0000-0C00-00000A000000}"/>
            </a:ext>
          </a:extLst>
        </xdr:cNvPr>
        <xdr:cNvGrpSpPr/>
      </xdr:nvGrpSpPr>
      <xdr:grpSpPr>
        <a:xfrm>
          <a:off x="381000" y="0"/>
          <a:ext cx="12212775" cy="1133475"/>
          <a:chOff x="385482" y="0"/>
          <a:chExt cx="11650800" cy="1133475"/>
        </a:xfrm>
      </xdr:grpSpPr>
      <xdr:pic>
        <xdr:nvPicPr>
          <xdr:cNvPr id="11" name="Imagem 10">
            <a:extLst>
              <a:ext uri="{FF2B5EF4-FFF2-40B4-BE49-F238E27FC236}">
                <a16:creationId xmlns:a16="http://schemas.microsoft.com/office/drawing/2014/main" id="{00000000-0008-0000-0C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5482" y="210226"/>
            <a:ext cx="2879051" cy="688137"/>
          </a:xfrm>
          <a:prstGeom prst="rect">
            <a:avLst/>
          </a:prstGeom>
        </xdr:spPr>
      </xdr:pic>
      <xdr:pic>
        <xdr:nvPicPr>
          <xdr:cNvPr id="12" name="Imagem 11">
            <a:extLst>
              <a:ext uri="{FF2B5EF4-FFF2-40B4-BE49-F238E27FC236}">
                <a16:creationId xmlns:a16="http://schemas.microsoft.com/office/drawing/2014/main" id="{00000000-0008-0000-0C00-00000C00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9685037" y="187179"/>
            <a:ext cx="1590842" cy="407631"/>
          </a:xfrm>
          <a:prstGeom prst="rect">
            <a:avLst/>
          </a:prstGeom>
          <a:noFill/>
          <a:ln>
            <a:noFill/>
          </a:ln>
        </xdr:spPr>
      </xdr:pic>
      <xdr:sp macro="" textlink="">
        <xdr:nvSpPr>
          <xdr:cNvPr id="13" name="Retângulo 12">
            <a:hlinkClick xmlns:r="http://schemas.openxmlformats.org/officeDocument/2006/relationships" r:id="rId3"/>
            <a:extLst>
              <a:ext uri="{FF2B5EF4-FFF2-40B4-BE49-F238E27FC236}">
                <a16:creationId xmlns:a16="http://schemas.microsoft.com/office/drawing/2014/main" id="{00000000-0008-0000-0C00-00000D000000}"/>
              </a:ext>
            </a:extLst>
          </xdr:cNvPr>
          <xdr:cNvSpPr/>
        </xdr:nvSpPr>
        <xdr:spPr>
          <a:xfrm>
            <a:off x="9091265" y="759468"/>
            <a:ext cx="1440000" cy="252000"/>
          </a:xfrm>
          <a:prstGeom prst="rect">
            <a:avLst/>
          </a:prstGeom>
          <a:solidFill>
            <a:srgbClr val="4B9FD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400" b="1">
                <a:latin typeface="Calibri Light" panose="020F0302020204030204" pitchFamily="34" charset="0"/>
              </a:rPr>
              <a:t>Instruções</a:t>
            </a:r>
          </a:p>
        </xdr:txBody>
      </xdr:sp>
      <xdr:pic>
        <xdr:nvPicPr>
          <xdr:cNvPr id="14" name="Imagem 13">
            <a:extLst>
              <a:ext uri="{FF2B5EF4-FFF2-40B4-BE49-F238E27FC236}">
                <a16:creationId xmlns:a16="http://schemas.microsoft.com/office/drawing/2014/main" id="{00000000-0008-0000-0C00-00000E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31784" b="20359"/>
          <a:stretch/>
        </xdr:blipFill>
        <xdr:spPr>
          <a:xfrm>
            <a:off x="4056751" y="0"/>
            <a:ext cx="3836839" cy="1133475"/>
          </a:xfrm>
          <a:prstGeom prst="rect">
            <a:avLst/>
          </a:prstGeom>
        </xdr:spPr>
      </xdr:pic>
      <xdr:sp macro="" textlink="">
        <xdr:nvSpPr>
          <xdr:cNvPr id="15" name="Retângulo 14">
            <a:hlinkClick xmlns:r="http://schemas.openxmlformats.org/officeDocument/2006/relationships" r:id="rId5"/>
            <a:extLst>
              <a:ext uri="{FF2B5EF4-FFF2-40B4-BE49-F238E27FC236}">
                <a16:creationId xmlns:a16="http://schemas.microsoft.com/office/drawing/2014/main" id="{00000000-0008-0000-0C00-00000F000000}"/>
              </a:ext>
            </a:extLst>
          </xdr:cNvPr>
          <xdr:cNvSpPr/>
        </xdr:nvSpPr>
        <xdr:spPr>
          <a:xfrm>
            <a:off x="10596282" y="762000"/>
            <a:ext cx="1440000" cy="252000"/>
          </a:xfrm>
          <a:prstGeom prst="rect">
            <a:avLst/>
          </a:prstGeom>
          <a:solidFill>
            <a:srgbClr val="4B9FD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400" b="1">
                <a:latin typeface="Calibri Light" panose="020F0302020204030204" pitchFamily="34" charset="0"/>
              </a:rPr>
              <a:t>Diretório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6"/>
  <sheetViews>
    <sheetView showGridLines="0" topLeftCell="A8" workbookViewId="0">
      <selection activeCell="C23" sqref="C23"/>
    </sheetView>
  </sheetViews>
  <sheetFormatPr defaultRowHeight="15" x14ac:dyDescent="0.25"/>
  <cols>
    <col min="1" max="1" width="4.5703125" customWidth="1"/>
    <col min="2" max="2" width="9.85546875" customWidth="1"/>
    <col min="3" max="3" width="129.42578125" customWidth="1"/>
    <col min="4" max="4" width="18.28515625" customWidth="1"/>
    <col min="5" max="5" width="13.5703125" customWidth="1"/>
    <col min="6" max="6" width="8.42578125" customWidth="1"/>
  </cols>
  <sheetData>
    <row r="1" spans="2:4" ht="78.75" customHeight="1" x14ac:dyDescent="0.25"/>
    <row r="2" spans="2:4" ht="15" customHeight="1" x14ac:dyDescent="0.25"/>
    <row r="3" spans="2:4" x14ac:dyDescent="0.25">
      <c r="B3" s="690" t="s">
        <v>1011</v>
      </c>
      <c r="C3" s="690" t="s">
        <v>1012</v>
      </c>
      <c r="D3" s="690" t="s">
        <v>1023</v>
      </c>
    </row>
    <row r="4" spans="2:4" x14ac:dyDescent="0.25">
      <c r="B4" s="697">
        <v>0</v>
      </c>
      <c r="C4" s="698" t="s">
        <v>1022</v>
      </c>
      <c r="D4" s="699">
        <v>43431</v>
      </c>
    </row>
    <row r="5" spans="2:4" x14ac:dyDescent="0.25">
      <c r="B5" s="720">
        <v>1</v>
      </c>
      <c r="C5" s="691" t="s">
        <v>1025</v>
      </c>
      <c r="D5" s="717">
        <v>43468</v>
      </c>
    </row>
    <row r="6" spans="2:4" x14ac:dyDescent="0.25">
      <c r="B6" s="721"/>
      <c r="C6" s="691" t="s">
        <v>1015</v>
      </c>
      <c r="D6" s="719"/>
    </row>
    <row r="7" spans="2:4" x14ac:dyDescent="0.25">
      <c r="B7" s="720">
        <v>2</v>
      </c>
      <c r="C7" s="692" t="s">
        <v>1016</v>
      </c>
      <c r="D7" s="717">
        <v>43511</v>
      </c>
    </row>
    <row r="8" spans="2:4" x14ac:dyDescent="0.25">
      <c r="B8" s="722"/>
      <c r="C8" s="691" t="s">
        <v>1017</v>
      </c>
      <c r="D8" s="718"/>
    </row>
    <row r="9" spans="2:4" x14ac:dyDescent="0.25">
      <c r="B9" s="721"/>
      <c r="C9" s="691" t="s">
        <v>1018</v>
      </c>
      <c r="D9" s="719"/>
    </row>
    <row r="10" spans="2:4" ht="30" x14ac:dyDescent="0.25">
      <c r="B10" s="694" t="s">
        <v>1019</v>
      </c>
      <c r="C10" s="692" t="s">
        <v>1049</v>
      </c>
      <c r="D10" s="693">
        <v>43515</v>
      </c>
    </row>
    <row r="11" spans="2:4" x14ac:dyDescent="0.25">
      <c r="B11" s="695" t="s">
        <v>1020</v>
      </c>
      <c r="C11" s="691" t="s">
        <v>1024</v>
      </c>
      <c r="D11" s="693">
        <v>43522</v>
      </c>
    </row>
    <row r="12" spans="2:4" ht="30" x14ac:dyDescent="0.25">
      <c r="B12" s="716" t="s">
        <v>1021</v>
      </c>
      <c r="C12" s="696" t="s">
        <v>1013</v>
      </c>
      <c r="D12" s="717">
        <f>DATE(2019,6,3)</f>
        <v>43619</v>
      </c>
    </row>
    <row r="13" spans="2:4" x14ac:dyDescent="0.25">
      <c r="B13" s="716"/>
      <c r="C13" s="691" t="s">
        <v>1014</v>
      </c>
      <c r="D13" s="718"/>
    </row>
    <row r="14" spans="2:4" x14ac:dyDescent="0.25">
      <c r="B14" s="716"/>
      <c r="C14" s="691" t="s">
        <v>1046</v>
      </c>
      <c r="D14" s="719"/>
    </row>
    <row r="15" spans="2:4" ht="28.5" customHeight="1" x14ac:dyDescent="0.25">
      <c r="B15" s="713" t="s">
        <v>1044</v>
      </c>
      <c r="C15" s="692" t="s">
        <v>1045</v>
      </c>
      <c r="D15" s="693">
        <v>43706</v>
      </c>
    </row>
    <row r="16" spans="2:4" x14ac:dyDescent="0.25">
      <c r="B16" s="714" t="s">
        <v>1047</v>
      </c>
      <c r="C16" s="715" t="s">
        <v>1048</v>
      </c>
      <c r="D16" s="693">
        <v>43717</v>
      </c>
    </row>
  </sheetData>
  <sheetProtection password="E2B3" sheet="1" objects="1" scenarios="1" selectLockedCells="1"/>
  <mergeCells count="6">
    <mergeCell ref="B12:B14"/>
    <mergeCell ref="D12:D14"/>
    <mergeCell ref="B5:B6"/>
    <mergeCell ref="D5:D6"/>
    <mergeCell ref="B7:B9"/>
    <mergeCell ref="D7:D9"/>
  </mergeCells>
  <pageMargins left="0.511811024" right="0.511811024" top="0.78740157499999996" bottom="0.78740157499999996" header="0.31496062000000002" footer="0.3149606200000000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9">
    <tabColor theme="4" tint="-0.249977111117893"/>
  </sheetPr>
  <dimension ref="A1:AT433"/>
  <sheetViews>
    <sheetView showGridLines="0" topLeftCell="B1" workbookViewId="0">
      <pane ySplit="2" topLeftCell="A3" activePane="bottomLeft" state="frozen"/>
      <selection activeCell="J1" sqref="J1"/>
      <selection pane="bottomLeft" activeCell="D28" sqref="D28"/>
    </sheetView>
  </sheetViews>
  <sheetFormatPr defaultColWidth="9.140625" defaultRowHeight="15" outlineLevelRow="1" x14ac:dyDescent="0.25"/>
  <cols>
    <col min="1" max="1" width="5.7109375" style="85" customWidth="1"/>
    <col min="2" max="2" width="35.7109375" style="85" customWidth="1"/>
    <col min="3" max="3" width="20.7109375" style="85" customWidth="1"/>
    <col min="4" max="4" width="15.7109375" style="88" customWidth="1"/>
    <col min="5" max="5" width="16.7109375" style="85" customWidth="1"/>
    <col min="6" max="7" width="20.7109375" style="85" customWidth="1"/>
    <col min="8" max="8" width="9.7109375" style="85" customWidth="1"/>
    <col min="9" max="10" width="8.7109375" style="85" customWidth="1"/>
    <col min="11" max="11" width="35.7109375" style="85" hidden="1" customWidth="1"/>
    <col min="12" max="12" width="20.7109375" style="85" hidden="1" customWidth="1"/>
    <col min="13" max="13" width="15.7109375" style="85" hidden="1" customWidth="1"/>
    <col min="14" max="14" width="16.7109375" style="85" hidden="1" customWidth="1"/>
    <col min="15" max="15" width="20.7109375" style="85" hidden="1" customWidth="1"/>
    <col min="16" max="16" width="8.7109375" style="85" hidden="1" customWidth="1"/>
    <col min="17" max="17" width="9.7109375" style="85" hidden="1" customWidth="1"/>
    <col min="18" max="19" width="8.7109375" style="85" hidden="1" customWidth="1"/>
    <col min="20" max="20" width="35.7109375" style="85" hidden="1" customWidth="1"/>
    <col min="21" max="21" width="20.7109375" style="85" hidden="1" customWidth="1"/>
    <col min="22" max="22" width="15.7109375" style="85" hidden="1" customWidth="1"/>
    <col min="23" max="23" width="16.7109375" style="85" hidden="1" customWidth="1"/>
    <col min="24" max="24" width="20.7109375" style="85" hidden="1" customWidth="1"/>
    <col min="25" max="25" width="8.7109375" style="85" hidden="1" customWidth="1"/>
    <col min="26" max="26" width="9.7109375" style="85" hidden="1" customWidth="1"/>
    <col min="27" max="28" width="8.7109375" style="85" hidden="1" customWidth="1"/>
    <col min="29" max="29" width="8.7109375" style="85" customWidth="1"/>
    <col min="30" max="30" width="8.7109375" style="85" hidden="1" customWidth="1"/>
    <col min="31" max="31" width="35.7109375" style="85" hidden="1" customWidth="1"/>
    <col min="32" max="32" width="20.7109375" style="85" hidden="1" customWidth="1"/>
    <col min="33" max="33" width="15.7109375" style="85" hidden="1" customWidth="1"/>
    <col min="34" max="34" width="16.7109375" style="85" hidden="1" customWidth="1"/>
    <col min="35" max="35" width="20.7109375" style="85" hidden="1" customWidth="1"/>
    <col min="36" max="36" width="8.7109375" style="85" hidden="1" customWidth="1"/>
    <col min="37" max="37" width="9.7109375" style="85" hidden="1" customWidth="1"/>
    <col min="38" max="39" width="0" style="85" hidden="1" customWidth="1"/>
    <col min="40" max="40" width="35.7109375" style="85" hidden="1" customWidth="1"/>
    <col min="41" max="41" width="20.7109375" style="85" hidden="1" customWidth="1"/>
    <col min="42" max="42" width="15.7109375" style="85" hidden="1" customWidth="1"/>
    <col min="43" max="43" width="16.7109375" style="85" hidden="1" customWidth="1"/>
    <col min="44" max="44" width="20.7109375" style="85" hidden="1" customWidth="1"/>
    <col min="45" max="45" width="8.7109375" style="85" hidden="1" customWidth="1"/>
    <col min="46" max="46" width="9.7109375" style="85" hidden="1" customWidth="1"/>
    <col min="47" max="16384" width="9.140625" style="85"/>
  </cols>
  <sheetData>
    <row r="1" spans="1:20" ht="90" customHeight="1" x14ac:dyDescent="0.25">
      <c r="A1" s="108"/>
      <c r="B1" s="120"/>
      <c r="C1" s="120"/>
      <c r="D1" s="120"/>
      <c r="E1" s="120"/>
      <c r="F1" s="120"/>
      <c r="G1" s="120"/>
      <c r="H1" s="120"/>
      <c r="I1" s="120"/>
      <c r="J1" s="120"/>
      <c r="K1" s="120"/>
      <c r="L1" s="120"/>
      <c r="M1" s="120"/>
      <c r="N1" s="120"/>
      <c r="O1" s="120"/>
      <c r="P1" s="120"/>
      <c r="Q1" s="120"/>
      <c r="R1" s="120"/>
      <c r="S1" s="120"/>
      <c r="T1" s="120"/>
    </row>
    <row r="2" spans="1:20" s="52" customFormat="1" ht="25.15" customHeight="1" x14ac:dyDescent="0.25">
      <c r="B2" s="52" t="s">
        <v>985</v>
      </c>
    </row>
    <row r="3" spans="1:20" s="108" customFormat="1" x14ac:dyDescent="0.25">
      <c r="C3" s="103"/>
    </row>
    <row r="4" spans="1:20" ht="15.75" x14ac:dyDescent="0.25">
      <c r="B4" s="181" t="s">
        <v>238</v>
      </c>
      <c r="C4" s="726" t="s">
        <v>1026</v>
      </c>
      <c r="D4" s="727"/>
      <c r="E4" s="727"/>
      <c r="F4" s="727"/>
      <c r="G4" s="727"/>
      <c r="H4" s="728"/>
      <c r="I4" s="108"/>
      <c r="J4" s="108"/>
      <c r="R4" s="108"/>
      <c r="S4" s="108"/>
    </row>
    <row r="5" spans="1:20" ht="6" customHeight="1" x14ac:dyDescent="0.25">
      <c r="B5" s="182"/>
      <c r="C5" s="114"/>
      <c r="D5" s="114"/>
      <c r="E5" s="114"/>
      <c r="F5" s="114"/>
      <c r="G5" s="114"/>
      <c r="H5" s="114"/>
      <c r="I5" s="108"/>
      <c r="J5" s="108"/>
      <c r="R5" s="108"/>
      <c r="S5" s="108"/>
    </row>
    <row r="6" spans="1:20" ht="15.75" x14ac:dyDescent="0.25">
      <c r="B6" s="181" t="s">
        <v>342</v>
      </c>
      <c r="C6" s="726"/>
      <c r="D6" s="727"/>
      <c r="E6" s="727"/>
      <c r="F6" s="727"/>
      <c r="G6" s="727"/>
      <c r="H6" s="728"/>
      <c r="I6" s="108"/>
      <c r="J6" s="108"/>
      <c r="R6" s="108"/>
      <c r="S6" s="108"/>
    </row>
    <row r="7" spans="1:20" ht="6" customHeight="1" x14ac:dyDescent="0.25">
      <c r="B7" s="181"/>
      <c r="C7" s="114"/>
      <c r="D7" s="114"/>
      <c r="E7" s="114"/>
      <c r="F7" s="114"/>
      <c r="G7" s="114"/>
      <c r="H7" s="114"/>
      <c r="I7" s="108"/>
      <c r="J7" s="108"/>
      <c r="R7" s="108"/>
      <c r="S7" s="108"/>
    </row>
    <row r="8" spans="1:20" ht="15.75" x14ac:dyDescent="0.25">
      <c r="B8" s="181" t="s">
        <v>239</v>
      </c>
      <c r="C8" s="726" t="s">
        <v>1027</v>
      </c>
      <c r="D8" s="727"/>
      <c r="E8" s="727"/>
      <c r="F8" s="727"/>
      <c r="G8" s="727"/>
      <c r="H8" s="728"/>
      <c r="I8" s="108"/>
      <c r="J8" s="108"/>
      <c r="R8" s="108"/>
      <c r="S8" s="108"/>
    </row>
    <row r="9" spans="1:20" ht="6" customHeight="1" x14ac:dyDescent="0.25">
      <c r="B9" s="182"/>
      <c r="C9" s="114"/>
      <c r="D9" s="114"/>
      <c r="E9" s="115"/>
      <c r="F9" s="115"/>
      <c r="G9" s="115"/>
      <c r="H9" s="115"/>
      <c r="I9" s="108"/>
      <c r="J9" s="108"/>
      <c r="R9" s="108"/>
      <c r="S9" s="108"/>
    </row>
    <row r="10" spans="1:20" ht="15.75" x14ac:dyDescent="0.25">
      <c r="B10" s="181" t="s">
        <v>240</v>
      </c>
      <c r="C10" s="726">
        <v>1921056100</v>
      </c>
      <c r="D10" s="728"/>
      <c r="E10" s="116"/>
      <c r="F10" s="108"/>
      <c r="G10" s="108"/>
      <c r="H10" s="108"/>
      <c r="I10" s="108"/>
      <c r="J10" s="108"/>
      <c r="R10" s="108"/>
      <c r="S10" s="108"/>
    </row>
    <row r="11" spans="1:20" s="108" customFormat="1" ht="15.75" x14ac:dyDescent="0.25">
      <c r="C11" s="112"/>
      <c r="L11" s="113"/>
    </row>
    <row r="12" spans="1:20" ht="6" customHeight="1" x14ac:dyDescent="0.25">
      <c r="B12" s="151"/>
      <c r="C12" s="99"/>
      <c r="D12" s="99"/>
      <c r="E12" s="99"/>
      <c r="F12" s="99"/>
      <c r="G12" s="84"/>
      <c r="H12" s="84"/>
      <c r="I12" s="108"/>
      <c r="Q12" s="108"/>
      <c r="R12" s="108"/>
    </row>
    <row r="13" spans="1:20" ht="17.25" x14ac:dyDescent="0.25">
      <c r="B13" s="43"/>
      <c r="C13" s="729" t="s">
        <v>125</v>
      </c>
      <c r="D13" s="729"/>
      <c r="E13" s="84"/>
      <c r="F13" s="84"/>
      <c r="G13" s="84"/>
      <c r="H13" s="84"/>
      <c r="I13" s="150"/>
      <c r="Q13" s="108"/>
      <c r="R13" s="150"/>
    </row>
    <row r="14" spans="1:20" ht="6" customHeight="1" x14ac:dyDescent="0.25">
      <c r="B14" s="43"/>
      <c r="C14" s="82"/>
      <c r="D14" s="82"/>
      <c r="E14" s="84"/>
      <c r="F14" s="33"/>
      <c r="G14" s="84"/>
      <c r="H14" s="84"/>
      <c r="I14" s="150"/>
      <c r="Q14" s="108"/>
      <c r="R14" s="150"/>
    </row>
    <row r="15" spans="1:20" ht="31.5" x14ac:dyDescent="0.25">
      <c r="B15" s="534" t="s">
        <v>829</v>
      </c>
      <c r="C15" s="155">
        <f>SUM(C17:C21)</f>
        <v>0.43899999999999995</v>
      </c>
      <c r="D15" s="736" t="s">
        <v>828</v>
      </c>
      <c r="E15" s="736"/>
      <c r="F15" s="736"/>
      <c r="G15" s="155">
        <f>G18-C15</f>
        <v>86.961000000000013</v>
      </c>
      <c r="H15" s="84"/>
      <c r="I15" s="150"/>
      <c r="Q15" s="108"/>
      <c r="R15" s="150"/>
    </row>
    <row r="16" spans="1:20" ht="6" customHeight="1" x14ac:dyDescent="0.25">
      <c r="B16" s="152"/>
      <c r="C16" s="82"/>
      <c r="D16" s="83"/>
      <c r="E16" s="84"/>
      <c r="F16" s="40"/>
      <c r="G16" s="84"/>
      <c r="H16" s="84"/>
      <c r="I16" s="108"/>
      <c r="Q16" s="108"/>
      <c r="R16" s="108"/>
    </row>
    <row r="17" spans="2:46" ht="15.75" x14ac:dyDescent="0.25">
      <c r="B17" s="385" t="s">
        <v>778</v>
      </c>
      <c r="C17" s="142">
        <f>IFERROR(IF($C$13="Etanol Anidro",'_E1G Flex'!C5,IF($C$13="Etanol Hidratado",'_E1G Flex'!E5,"")),0)</f>
        <v>0</v>
      </c>
      <c r="D17" s="83"/>
      <c r="E17" s="84"/>
      <c r="F17" s="153"/>
      <c r="G17" s="153" t="s">
        <v>865</v>
      </c>
      <c r="H17" s="84"/>
      <c r="I17" s="108"/>
      <c r="Q17" s="108"/>
      <c r="R17" s="108"/>
    </row>
    <row r="18" spans="2:46" ht="17.25" x14ac:dyDescent="0.25">
      <c r="B18" s="385" t="s">
        <v>779</v>
      </c>
      <c r="C18" s="142">
        <f>IFERROR(IF($C$13="Etanol Anidro",'_E1G Flex'!C6,IF($C$13="Etanol Hidratado",'_E1G Flex'!E6,"")),0)</f>
        <v>0</v>
      </c>
      <c r="D18" s="83"/>
      <c r="E18" s="84"/>
      <c r="F18" s="153"/>
      <c r="G18" s="580">
        <f>'Dados auxiliares'!F166</f>
        <v>87.4</v>
      </c>
      <c r="H18" s="84"/>
      <c r="I18" s="108"/>
      <c r="Q18" s="108"/>
      <c r="R18" s="108"/>
    </row>
    <row r="19" spans="2:46" ht="15.75" x14ac:dyDescent="0.25">
      <c r="B19" s="385" t="s">
        <v>160</v>
      </c>
      <c r="C19" s="142">
        <f>IFERROR(IF($C$13="Etanol Anidro",'_E1G Flex'!C7,IF($C$13="Etanol Hidratado",'_E1G Flex'!E7,"")),0)</f>
        <v>0</v>
      </c>
      <c r="D19" s="83"/>
      <c r="E19" s="84"/>
      <c r="F19" s="153"/>
      <c r="G19" s="153" t="s">
        <v>539</v>
      </c>
      <c r="H19" s="84"/>
      <c r="I19" s="108"/>
      <c r="Q19" s="108"/>
      <c r="R19" s="108"/>
    </row>
    <row r="20" spans="2:46" ht="17.25" x14ac:dyDescent="0.25">
      <c r="B20" s="385" t="s">
        <v>161</v>
      </c>
      <c r="C20" s="142">
        <f>IFERROR(IF($C$13="Etanol Anidro",'_E1G Flex'!C8,IF($C$13="Etanol Hidratado",'_E1G Flex'!E8,"")),0)</f>
        <v>0</v>
      </c>
      <c r="D20" s="83"/>
      <c r="E20" s="84"/>
      <c r="F20" s="153"/>
      <c r="G20" s="154">
        <f>(G18-C15)/G18</f>
        <v>0.9949771167048056</v>
      </c>
      <c r="H20" s="84"/>
      <c r="I20" s="108"/>
      <c r="Q20" s="108"/>
      <c r="R20" s="108"/>
    </row>
    <row r="21" spans="2:46" x14ac:dyDescent="0.25">
      <c r="B21" s="385" t="s">
        <v>189</v>
      </c>
      <c r="C21" s="142">
        <f>IFERROR(IF($C$13="Etanol Anidro",'_E1G Flex'!C9,IF($C$13="Etanol Hidratado",'_E1G Flex'!E9,"")),0)</f>
        <v>0.43899999999999995</v>
      </c>
      <c r="D21" s="122"/>
      <c r="E21" s="123"/>
      <c r="F21" s="123"/>
      <c r="G21" s="123"/>
      <c r="H21" s="123"/>
      <c r="I21" s="108"/>
      <c r="Q21" s="108"/>
      <c r="R21" s="108"/>
    </row>
    <row r="22" spans="2:46" ht="6" customHeight="1" x14ac:dyDescent="0.25">
      <c r="B22" s="385"/>
      <c r="C22" s="121"/>
      <c r="D22" s="122"/>
      <c r="E22" s="123"/>
      <c r="F22" s="123"/>
      <c r="G22" s="123"/>
      <c r="H22" s="123"/>
      <c r="I22" s="108"/>
      <c r="R22" s="108"/>
    </row>
    <row r="23" spans="2:46" x14ac:dyDescent="0.25">
      <c r="C23" s="88"/>
      <c r="D23" s="85"/>
    </row>
    <row r="24" spans="2:46" ht="18.75" x14ac:dyDescent="0.25">
      <c r="B24" s="732" t="s">
        <v>976</v>
      </c>
      <c r="C24" s="732"/>
      <c r="D24" s="732"/>
      <c r="E24" s="732"/>
      <c r="F24" s="732"/>
      <c r="G24" s="732"/>
      <c r="H24" s="732"/>
      <c r="I24" s="107"/>
      <c r="J24" s="107"/>
      <c r="K24" s="732" t="s">
        <v>964</v>
      </c>
      <c r="L24" s="732"/>
      <c r="M24" s="732"/>
      <c r="N24" s="732"/>
      <c r="O24" s="732"/>
      <c r="P24" s="732"/>
      <c r="Q24" s="732"/>
      <c r="R24" s="107"/>
      <c r="S24" s="107"/>
      <c r="T24" s="732" t="s">
        <v>168</v>
      </c>
      <c r="U24" s="732"/>
      <c r="V24" s="732"/>
      <c r="W24" s="732"/>
      <c r="X24" s="732"/>
      <c r="Y24" s="732"/>
      <c r="Z24" s="732"/>
      <c r="AE24" s="734" t="s">
        <v>293</v>
      </c>
      <c r="AF24" s="734"/>
      <c r="AG24" s="734"/>
      <c r="AH24" s="734"/>
      <c r="AI24" s="734"/>
      <c r="AJ24" s="734"/>
      <c r="AK24" s="734"/>
      <c r="AN24" s="724" t="s">
        <v>774</v>
      </c>
      <c r="AO24" s="724"/>
      <c r="AP24" s="724"/>
      <c r="AQ24" s="724"/>
      <c r="AR24" s="724"/>
      <c r="AS24" s="724"/>
      <c r="AT24" s="724"/>
    </row>
    <row r="25" spans="2:46" ht="15.75" x14ac:dyDescent="0.25">
      <c r="B25" s="725" t="s">
        <v>276</v>
      </c>
      <c r="C25" s="725"/>
      <c r="D25" s="725"/>
      <c r="E25" s="725"/>
      <c r="F25" s="725"/>
      <c r="G25" s="725"/>
      <c r="H25" s="725"/>
      <c r="I25" s="108"/>
      <c r="J25" s="108"/>
      <c r="K25" s="725" t="s">
        <v>276</v>
      </c>
      <c r="L25" s="725"/>
      <c r="M25" s="725"/>
      <c r="N25" s="725"/>
      <c r="O25" s="725"/>
      <c r="P25" s="725"/>
      <c r="Q25" s="725"/>
      <c r="R25" s="108"/>
      <c r="S25" s="108"/>
      <c r="T25" s="725" t="s">
        <v>276</v>
      </c>
      <c r="U25" s="725"/>
      <c r="V25" s="725"/>
      <c r="W25" s="725"/>
      <c r="X25" s="725"/>
      <c r="Y25" s="725"/>
      <c r="Z25" s="725"/>
      <c r="AB25"/>
      <c r="AC25"/>
      <c r="AE25" s="725" t="s">
        <v>276</v>
      </c>
      <c r="AF25" s="725"/>
      <c r="AG25" s="725"/>
      <c r="AH25" s="725"/>
      <c r="AI25" s="725"/>
      <c r="AJ25" s="725"/>
      <c r="AK25" s="725"/>
      <c r="AN25" s="725" t="s">
        <v>276</v>
      </c>
      <c r="AO25" s="725"/>
      <c r="AP25" s="725"/>
      <c r="AQ25" s="725"/>
      <c r="AR25" s="725"/>
      <c r="AS25" s="725"/>
      <c r="AT25" s="725"/>
    </row>
    <row r="26" spans="2:46" ht="6" customHeight="1" x14ac:dyDescent="0.25">
      <c r="D26" s="103"/>
      <c r="M26" s="103"/>
      <c r="V26" s="104"/>
      <c r="AB26"/>
      <c r="AC26"/>
      <c r="AE26" s="379"/>
      <c r="AF26" s="379"/>
      <c r="AG26" s="379"/>
      <c r="AH26" s="379"/>
      <c r="AI26" s="379"/>
      <c r="AJ26" s="379"/>
      <c r="AK26" s="379"/>
      <c r="AN26" s="438"/>
      <c r="AO26" s="438"/>
      <c r="AP26" s="438"/>
      <c r="AQ26" s="438"/>
      <c r="AR26" s="438"/>
      <c r="AS26" s="438"/>
      <c r="AT26" s="438"/>
    </row>
    <row r="27" spans="2:46" hidden="1" x14ac:dyDescent="0.25">
      <c r="B27" s="24"/>
      <c r="C27" s="91" t="s">
        <v>348</v>
      </c>
      <c r="D27" s="629" t="s">
        <v>127</v>
      </c>
      <c r="E27" s="92"/>
      <c r="F27" s="27"/>
      <c r="G27" s="27"/>
      <c r="H27" s="27"/>
      <c r="K27" s="24"/>
      <c r="L27" s="91" t="s">
        <v>348</v>
      </c>
      <c r="M27" s="629" t="s">
        <v>127</v>
      </c>
      <c r="N27" s="92"/>
      <c r="O27" s="27"/>
      <c r="P27" s="27"/>
      <c r="Q27" s="27"/>
      <c r="T27" s="24"/>
      <c r="U27" s="91" t="s">
        <v>348</v>
      </c>
      <c r="V27" s="28" t="str">
        <f>D27</f>
        <v>Convencional</v>
      </c>
      <c r="W27" s="92"/>
      <c r="X27" s="27"/>
      <c r="Y27" s="27"/>
      <c r="Z27" s="27"/>
      <c r="AB27"/>
      <c r="AC27"/>
      <c r="AE27" s="527"/>
      <c r="AF27" s="527"/>
      <c r="AG27" s="527"/>
      <c r="AH27" s="527"/>
      <c r="AI27" s="527"/>
      <c r="AJ27" s="527"/>
      <c r="AK27" s="527"/>
      <c r="AN27" s="527"/>
      <c r="AO27" s="527"/>
      <c r="AP27" s="527"/>
      <c r="AQ27" s="527"/>
      <c r="AR27" s="527"/>
      <c r="AS27" s="527"/>
      <c r="AT27" s="527"/>
    </row>
    <row r="28" spans="2:46" ht="17.25" customHeight="1" x14ac:dyDescent="0.25">
      <c r="B28" s="24"/>
      <c r="C28" s="91" t="s">
        <v>355</v>
      </c>
      <c r="D28" s="644"/>
      <c r="E28" s="92" t="s">
        <v>36</v>
      </c>
      <c r="F28" s="421"/>
      <c r="G28" s="89"/>
      <c r="H28" s="421"/>
      <c r="K28" s="24"/>
      <c r="L28" s="91" t="s">
        <v>355</v>
      </c>
      <c r="M28" s="630"/>
      <c r="N28" s="92" t="s">
        <v>36</v>
      </c>
      <c r="O28" s="421"/>
      <c r="P28" s="89"/>
      <c r="Q28" s="421"/>
      <c r="T28" s="24"/>
      <c r="U28" s="91" t="s">
        <v>355</v>
      </c>
      <c r="V28" s="140">
        <f>D28</f>
        <v>0</v>
      </c>
      <c r="W28" s="92" t="s">
        <v>36</v>
      </c>
      <c r="X28" s="379"/>
      <c r="Y28" s="89"/>
      <c r="Z28" s="379"/>
      <c r="AB28"/>
      <c r="AC28"/>
      <c r="AE28" s="379"/>
      <c r="AF28" s="379"/>
      <c r="AG28" s="379"/>
      <c r="AH28" s="379"/>
      <c r="AI28" s="379"/>
      <c r="AJ28" s="379"/>
      <c r="AK28" s="379"/>
      <c r="AN28" s="438"/>
      <c r="AO28" s="438"/>
      <c r="AP28" s="438"/>
      <c r="AQ28" s="438"/>
      <c r="AR28" s="438"/>
      <c r="AS28" s="438"/>
      <c r="AT28" s="438"/>
    </row>
    <row r="29" spans="2:46" ht="6" customHeight="1" x14ac:dyDescent="0.25">
      <c r="B29" s="75"/>
      <c r="D29" s="45"/>
      <c r="E29" s="75"/>
      <c r="F29" s="422"/>
      <c r="G29" s="101"/>
      <c r="K29" s="75"/>
      <c r="M29" s="45"/>
      <c r="N29" s="75"/>
      <c r="O29" s="422"/>
      <c r="P29" s="101"/>
      <c r="T29" s="75"/>
      <c r="V29" s="45"/>
      <c r="W29" s="75"/>
      <c r="X29" s="380"/>
      <c r="Y29" s="101"/>
      <c r="AB29"/>
      <c r="AC29"/>
      <c r="AE29" s="379"/>
      <c r="AF29" s="379"/>
      <c r="AG29" s="379"/>
      <c r="AH29" s="379"/>
      <c r="AI29" s="379"/>
      <c r="AJ29" s="379"/>
      <c r="AK29" s="379"/>
      <c r="AN29" s="438"/>
      <c r="AO29" s="438"/>
      <c r="AP29" s="438"/>
      <c r="AQ29" s="438"/>
      <c r="AR29" s="438"/>
      <c r="AS29" s="438"/>
      <c r="AT29" s="438"/>
    </row>
    <row r="30" spans="2:46" x14ac:dyDescent="0.25">
      <c r="B30" s="25"/>
      <c r="C30" s="91" t="s">
        <v>350</v>
      </c>
      <c r="D30" s="644"/>
      <c r="E30" s="92" t="s">
        <v>353</v>
      </c>
      <c r="F30" s="421"/>
      <c r="G30" s="90"/>
      <c r="H30" s="89"/>
      <c r="K30" s="25"/>
      <c r="L30" s="91" t="s">
        <v>350</v>
      </c>
      <c r="M30" s="631"/>
      <c r="N30" s="92" t="s">
        <v>353</v>
      </c>
      <c r="O30" s="421"/>
      <c r="P30" s="90"/>
      <c r="Q30" s="89"/>
      <c r="T30" s="25"/>
      <c r="U30" s="91" t="s">
        <v>350</v>
      </c>
      <c r="V30" s="140">
        <f>D30</f>
        <v>0</v>
      </c>
      <c r="W30" s="92" t="s">
        <v>353</v>
      </c>
      <c r="X30" s="379"/>
      <c r="Y30" s="90"/>
      <c r="Z30" s="89"/>
      <c r="AB30"/>
      <c r="AC30"/>
      <c r="AE30" s="379"/>
      <c r="AF30" s="379"/>
      <c r="AG30" s="379"/>
      <c r="AH30" s="379"/>
      <c r="AI30" s="379"/>
      <c r="AJ30" s="379"/>
      <c r="AK30" s="379"/>
      <c r="AN30" s="438"/>
      <c r="AO30" s="438"/>
      <c r="AP30" s="438"/>
      <c r="AQ30" s="438"/>
      <c r="AR30" s="438"/>
      <c r="AS30" s="438"/>
      <c r="AT30" s="438"/>
    </row>
    <row r="31" spans="2:46" x14ac:dyDescent="0.25">
      <c r="B31" s="25"/>
      <c r="C31" s="91" t="s">
        <v>997</v>
      </c>
      <c r="D31" s="644"/>
      <c r="E31" s="92" t="s">
        <v>353</v>
      </c>
      <c r="F31" s="683"/>
      <c r="G31" s="90"/>
      <c r="H31" s="89"/>
      <c r="K31" s="25"/>
      <c r="L31" s="91"/>
      <c r="M31" s="631"/>
      <c r="N31" s="92"/>
      <c r="O31" s="672"/>
      <c r="P31" s="90"/>
      <c r="Q31" s="89"/>
      <c r="T31" s="25"/>
      <c r="U31" s="91"/>
      <c r="V31" s="140"/>
      <c r="W31" s="92"/>
      <c r="X31" s="672"/>
      <c r="Y31" s="90"/>
      <c r="Z31" s="89"/>
      <c r="AB31"/>
      <c r="AC31"/>
      <c r="AE31" s="672"/>
      <c r="AF31" s="672"/>
      <c r="AG31" s="672"/>
      <c r="AH31" s="672"/>
      <c r="AI31" s="672"/>
      <c r="AJ31" s="672"/>
      <c r="AK31" s="672"/>
      <c r="AN31" s="672"/>
      <c r="AO31" s="672"/>
      <c r="AP31" s="672"/>
      <c r="AQ31" s="672"/>
      <c r="AR31" s="672"/>
      <c r="AS31" s="672"/>
      <c r="AT31" s="672"/>
    </row>
    <row r="32" spans="2:46" x14ac:dyDescent="0.25">
      <c r="B32" s="25"/>
      <c r="C32" s="91" t="s">
        <v>428</v>
      </c>
      <c r="D32" s="644"/>
      <c r="E32" s="92" t="s">
        <v>358</v>
      </c>
      <c r="F32" s="91" t="s">
        <v>134</v>
      </c>
      <c r="G32" s="670"/>
      <c r="H32" s="89"/>
      <c r="K32" s="25"/>
      <c r="L32" s="91" t="s">
        <v>428</v>
      </c>
      <c r="M32" s="631"/>
      <c r="N32" s="92" t="s">
        <v>358</v>
      </c>
      <c r="O32" s="91" t="s">
        <v>134</v>
      </c>
      <c r="P32" s="632">
        <v>0.5</v>
      </c>
      <c r="Q32" s="89"/>
      <c r="T32" s="25"/>
      <c r="U32" s="91" t="s">
        <v>428</v>
      </c>
      <c r="V32" s="140">
        <f>D32</f>
        <v>0</v>
      </c>
      <c r="W32" s="92" t="s">
        <v>358</v>
      </c>
      <c r="X32" s="91" t="s">
        <v>134</v>
      </c>
      <c r="Y32" s="140">
        <f>G32</f>
        <v>0</v>
      </c>
      <c r="Z32" s="89"/>
      <c r="AB32"/>
      <c r="AC32"/>
      <c r="AE32" s="379"/>
      <c r="AF32" s="379"/>
      <c r="AG32" s="379"/>
      <c r="AH32" s="379"/>
      <c r="AI32" s="379"/>
      <c r="AJ32" s="379"/>
      <c r="AK32" s="379"/>
      <c r="AN32" s="438"/>
      <c r="AO32" s="438"/>
      <c r="AP32" s="438"/>
      <c r="AQ32" s="438"/>
      <c r="AR32" s="438"/>
      <c r="AS32" s="438"/>
      <c r="AT32" s="438"/>
    </row>
    <row r="33" spans="2:46" x14ac:dyDescent="0.25">
      <c r="B33" s="25"/>
      <c r="C33" s="91" t="s">
        <v>427</v>
      </c>
      <c r="D33" s="644"/>
      <c r="E33" s="92" t="s">
        <v>358</v>
      </c>
      <c r="F33" s="421"/>
      <c r="G33" s="90"/>
      <c r="H33" s="89"/>
      <c r="K33" s="25"/>
      <c r="L33" s="91" t="s">
        <v>427</v>
      </c>
      <c r="M33" s="631"/>
      <c r="N33" s="92" t="s">
        <v>358</v>
      </c>
      <c r="O33" s="421"/>
      <c r="P33" s="90"/>
      <c r="Q33" s="89"/>
      <c r="T33" s="25"/>
      <c r="U33" s="91" t="s">
        <v>427</v>
      </c>
      <c r="V33" s="140">
        <f>D33</f>
        <v>0</v>
      </c>
      <c r="W33" s="92" t="s">
        <v>358</v>
      </c>
      <c r="X33" s="379"/>
      <c r="Y33" s="90"/>
      <c r="Z33" s="89"/>
      <c r="AB33"/>
      <c r="AC33"/>
      <c r="AE33" s="379"/>
      <c r="AF33" s="379"/>
      <c r="AG33" s="379"/>
      <c r="AH33" s="379"/>
      <c r="AI33" s="379"/>
      <c r="AJ33" s="379"/>
      <c r="AK33" s="379"/>
      <c r="AN33" s="438"/>
      <c r="AO33" s="438"/>
      <c r="AP33" s="438"/>
      <c r="AQ33" s="438"/>
      <c r="AR33" s="438"/>
      <c r="AS33" s="438"/>
      <c r="AT33" s="438"/>
    </row>
    <row r="34" spans="2:46" x14ac:dyDescent="0.25">
      <c r="B34" s="25"/>
      <c r="C34" s="91" t="s">
        <v>429</v>
      </c>
      <c r="D34" s="644"/>
      <c r="E34" s="92" t="s">
        <v>354</v>
      </c>
      <c r="F34" s="27"/>
      <c r="G34" s="27"/>
      <c r="H34" s="27"/>
      <c r="K34" s="25"/>
      <c r="L34" s="91" t="s">
        <v>351</v>
      </c>
      <c r="M34" s="631"/>
      <c r="N34" s="92" t="s">
        <v>354</v>
      </c>
      <c r="O34" s="27"/>
      <c r="P34" s="27"/>
      <c r="Q34" s="27"/>
      <c r="T34" s="25"/>
      <c r="U34" s="91" t="s">
        <v>351</v>
      </c>
      <c r="V34" s="140">
        <f>D34</f>
        <v>0</v>
      </c>
      <c r="W34" s="92" t="s">
        <v>354</v>
      </c>
      <c r="X34" s="27"/>
      <c r="Y34" s="27"/>
      <c r="Z34" s="27"/>
      <c r="AB34"/>
      <c r="AC34"/>
      <c r="AE34" s="379"/>
      <c r="AF34" s="379"/>
      <c r="AG34" s="379"/>
      <c r="AH34" s="379"/>
      <c r="AI34" s="379"/>
      <c r="AJ34" s="379"/>
      <c r="AK34" s="379"/>
      <c r="AL34" s="108"/>
      <c r="AN34" s="438"/>
      <c r="AO34" s="438"/>
      <c r="AP34" s="438"/>
      <c r="AQ34" s="438"/>
      <c r="AR34" s="438"/>
      <c r="AS34" s="438"/>
      <c r="AT34" s="438"/>
    </row>
    <row r="35" spans="2:46" ht="6" customHeight="1" x14ac:dyDescent="0.25">
      <c r="B35" s="25"/>
      <c r="C35" s="25"/>
      <c r="D35" s="25"/>
      <c r="E35" s="25"/>
      <c r="F35" s="25"/>
      <c r="G35" s="25"/>
      <c r="H35" s="25"/>
      <c r="K35" s="25"/>
      <c r="L35" s="25"/>
      <c r="M35" s="25"/>
      <c r="N35" s="25"/>
      <c r="O35" s="25"/>
      <c r="P35" s="25"/>
      <c r="Q35" s="25"/>
      <c r="T35" s="25"/>
      <c r="U35" s="25"/>
      <c r="V35" s="25"/>
      <c r="W35" s="25"/>
      <c r="X35" s="25"/>
      <c r="Y35" s="25"/>
      <c r="Z35" s="25"/>
      <c r="AB35"/>
      <c r="AC35"/>
      <c r="AE35" s="379"/>
      <c r="AF35" s="379"/>
      <c r="AG35" s="379"/>
      <c r="AH35" s="379"/>
      <c r="AI35" s="379"/>
      <c r="AJ35" s="379"/>
      <c r="AK35" s="379"/>
      <c r="AL35" s="108"/>
      <c r="AN35" s="438"/>
      <c r="AO35" s="438"/>
      <c r="AP35" s="438"/>
      <c r="AQ35" s="438"/>
      <c r="AR35" s="438"/>
      <c r="AS35" s="438"/>
      <c r="AT35" s="438"/>
    </row>
    <row r="36" spans="2:46" ht="6" customHeight="1" x14ac:dyDescent="0.25">
      <c r="B36" s="96"/>
      <c r="C36" s="96"/>
      <c r="D36" s="96"/>
      <c r="E36" s="96"/>
      <c r="F36" s="96"/>
      <c r="G36" s="96"/>
      <c r="H36" s="96"/>
      <c r="K36" s="96"/>
      <c r="L36" s="96"/>
      <c r="M36" s="96"/>
      <c r="N36" s="96"/>
      <c r="O36" s="96"/>
      <c r="P36" s="96"/>
      <c r="Q36" s="96"/>
      <c r="T36" s="96"/>
      <c r="U36" s="96"/>
      <c r="V36" s="96"/>
      <c r="W36" s="96"/>
      <c r="X36" s="96"/>
      <c r="Y36" s="96"/>
      <c r="Z36" s="96"/>
      <c r="AB36"/>
      <c r="AC36"/>
      <c r="AE36" s="537"/>
      <c r="AF36" s="537"/>
      <c r="AG36" s="537"/>
      <c r="AH36" s="537"/>
      <c r="AI36" s="537"/>
      <c r="AJ36" s="537"/>
      <c r="AK36" s="537"/>
      <c r="AL36" s="108"/>
      <c r="AN36" s="438"/>
      <c r="AO36" s="438"/>
      <c r="AP36" s="438"/>
      <c r="AQ36" s="438"/>
      <c r="AR36" s="438"/>
      <c r="AS36" s="438"/>
      <c r="AT36" s="438"/>
    </row>
    <row r="37" spans="2:46" ht="15.75" x14ac:dyDescent="0.25">
      <c r="B37" s="723" t="s">
        <v>352</v>
      </c>
      <c r="C37" s="723"/>
      <c r="D37" s="723"/>
      <c r="E37" s="723"/>
      <c r="F37" s="723"/>
      <c r="G37" s="723"/>
      <c r="H37" s="723"/>
      <c r="K37" s="723" t="s">
        <v>352</v>
      </c>
      <c r="L37" s="723"/>
      <c r="M37" s="723"/>
      <c r="N37" s="723"/>
      <c r="O37" s="723"/>
      <c r="P37" s="723"/>
      <c r="Q37" s="723"/>
      <c r="T37" s="723" t="s">
        <v>352</v>
      </c>
      <c r="U37" s="723"/>
      <c r="V37" s="723"/>
      <c r="W37" s="723"/>
      <c r="X37" s="723"/>
      <c r="Y37" s="723"/>
      <c r="Z37" s="723"/>
      <c r="AB37"/>
      <c r="AC37"/>
      <c r="AE37" s="723" t="s">
        <v>352</v>
      </c>
      <c r="AF37" s="723"/>
      <c r="AG37" s="723"/>
      <c r="AH37" s="723"/>
      <c r="AI37" s="723"/>
      <c r="AJ37" s="723"/>
      <c r="AK37" s="723"/>
      <c r="AL37" s="108"/>
      <c r="AN37" s="723" t="s">
        <v>352</v>
      </c>
      <c r="AO37" s="723"/>
      <c r="AP37" s="723"/>
      <c r="AQ37" s="723"/>
      <c r="AR37" s="723"/>
      <c r="AS37" s="723"/>
      <c r="AT37" s="723"/>
    </row>
    <row r="38" spans="2:46" ht="15.75" customHeight="1" x14ac:dyDescent="0.25">
      <c r="B38" s="385"/>
      <c r="C38" s="93" t="s">
        <v>349</v>
      </c>
      <c r="D38" s="644"/>
      <c r="E38" s="94" t="s">
        <v>36</v>
      </c>
      <c r="F38" s="95"/>
      <c r="G38" s="95"/>
      <c r="H38" s="95"/>
      <c r="K38" s="385"/>
      <c r="L38" s="93" t="s">
        <v>349</v>
      </c>
      <c r="M38" s="630"/>
      <c r="N38" s="94" t="s">
        <v>36</v>
      </c>
      <c r="O38" s="95"/>
      <c r="P38" s="95"/>
      <c r="Q38" s="95"/>
      <c r="T38" s="385"/>
      <c r="U38" s="93" t="s">
        <v>349</v>
      </c>
      <c r="V38" s="140">
        <f>D38</f>
        <v>0</v>
      </c>
      <c r="W38" s="94" t="s">
        <v>36</v>
      </c>
      <c r="X38" s="95"/>
      <c r="Y38" s="95"/>
      <c r="Z38" s="95"/>
      <c r="AB38"/>
      <c r="AC38"/>
      <c r="AE38" s="385"/>
      <c r="AF38" s="93" t="s">
        <v>349</v>
      </c>
      <c r="AG38" s="144">
        <v>1</v>
      </c>
      <c r="AH38" s="29" t="s">
        <v>382</v>
      </c>
      <c r="AI38" s="27"/>
      <c r="AJ38" s="27"/>
      <c r="AK38" s="27"/>
      <c r="AN38" s="385"/>
      <c r="AO38" s="93" t="s">
        <v>349</v>
      </c>
      <c r="AP38" s="431"/>
      <c r="AQ38" s="29" t="s">
        <v>382</v>
      </c>
      <c r="AR38" s="27"/>
      <c r="AS38" s="27"/>
      <c r="AT38" s="27"/>
    </row>
    <row r="39" spans="2:46" ht="6" customHeight="1" x14ac:dyDescent="0.25">
      <c r="B39" s="96"/>
      <c r="C39" s="96"/>
      <c r="D39" s="96"/>
      <c r="E39" s="96"/>
      <c r="F39" s="96"/>
      <c r="G39" s="96"/>
      <c r="H39" s="96"/>
      <c r="K39" s="96"/>
      <c r="L39" s="96"/>
      <c r="M39" s="96"/>
      <c r="N39" s="96"/>
      <c r="O39" s="96"/>
      <c r="P39" s="96"/>
      <c r="Q39" s="96"/>
      <c r="T39" s="96"/>
      <c r="U39" s="96"/>
      <c r="V39" s="96"/>
      <c r="W39" s="96"/>
      <c r="X39" s="96"/>
      <c r="Y39" s="96"/>
      <c r="Z39" s="96"/>
      <c r="AB39"/>
      <c r="AC39"/>
      <c r="AE39" s="29"/>
      <c r="AF39" s="73"/>
      <c r="AG39" s="73"/>
      <c r="AH39" s="73"/>
      <c r="AI39" s="27"/>
      <c r="AJ39" s="27"/>
      <c r="AK39" s="27"/>
      <c r="AL39" s="108"/>
      <c r="AN39" s="29"/>
      <c r="AO39" s="73"/>
      <c r="AP39" s="73"/>
      <c r="AQ39" s="73"/>
      <c r="AR39" s="27"/>
      <c r="AS39" s="27"/>
      <c r="AT39" s="27"/>
    </row>
    <row r="40" spans="2:46" ht="15.75" x14ac:dyDescent="0.25">
      <c r="B40" s="723" t="s">
        <v>338</v>
      </c>
      <c r="C40" s="723"/>
      <c r="D40" s="723"/>
      <c r="E40" s="723"/>
      <c r="F40" s="723"/>
      <c r="G40" s="723"/>
      <c r="H40" s="723"/>
      <c r="K40" s="723" t="s">
        <v>338</v>
      </c>
      <c r="L40" s="723"/>
      <c r="M40" s="723"/>
      <c r="N40" s="723"/>
      <c r="O40" s="723"/>
      <c r="P40" s="723"/>
      <c r="Q40" s="723"/>
      <c r="T40" s="723" t="s">
        <v>338</v>
      </c>
      <c r="U40" s="723"/>
      <c r="V40" s="723"/>
      <c r="W40" s="723"/>
      <c r="X40" s="723"/>
      <c r="Y40" s="723"/>
      <c r="Z40" s="723"/>
      <c r="AB40"/>
      <c r="AC40"/>
      <c r="AE40" s="723" t="s">
        <v>338</v>
      </c>
      <c r="AF40" s="723"/>
      <c r="AG40" s="723"/>
      <c r="AH40" s="723"/>
      <c r="AI40" s="723"/>
      <c r="AJ40" s="723"/>
      <c r="AK40" s="723"/>
      <c r="AL40" s="108"/>
      <c r="AN40" s="723" t="s">
        <v>338</v>
      </c>
      <c r="AO40" s="723"/>
      <c r="AP40" s="723"/>
      <c r="AQ40" s="723"/>
      <c r="AR40" s="723"/>
      <c r="AS40" s="723"/>
      <c r="AT40" s="723"/>
    </row>
    <row r="41" spans="2:46" x14ac:dyDescent="0.25">
      <c r="B41" s="97"/>
      <c r="C41" s="93" t="s">
        <v>164</v>
      </c>
      <c r="D41" s="644"/>
      <c r="E41" s="94" t="s">
        <v>358</v>
      </c>
      <c r="F41" s="95"/>
      <c r="G41" s="95"/>
      <c r="H41" s="95"/>
      <c r="I41" s="109"/>
      <c r="J41" s="109"/>
      <c r="K41" s="97"/>
      <c r="L41" s="93" t="s">
        <v>164</v>
      </c>
      <c r="M41" s="633"/>
      <c r="N41" s="94" t="s">
        <v>358</v>
      </c>
      <c r="O41" s="95"/>
      <c r="P41" s="95"/>
      <c r="Q41" s="95"/>
      <c r="R41" s="109"/>
      <c r="S41" s="109"/>
      <c r="T41" s="97"/>
      <c r="U41" s="93" t="s">
        <v>164</v>
      </c>
      <c r="V41" s="140">
        <f>D41</f>
        <v>0</v>
      </c>
      <c r="W41" s="94" t="s">
        <v>358</v>
      </c>
      <c r="X41" s="95"/>
      <c r="Y41" s="95"/>
      <c r="Z41" s="95"/>
      <c r="AB41"/>
      <c r="AC41"/>
      <c r="AE41" s="97"/>
      <c r="AF41" s="93" t="s">
        <v>164</v>
      </c>
      <c r="AG41" s="145">
        <v>0</v>
      </c>
      <c r="AH41" s="94" t="s">
        <v>358</v>
      </c>
      <c r="AI41" s="95"/>
      <c r="AJ41" s="95"/>
      <c r="AK41" s="95"/>
      <c r="AL41" s="108"/>
      <c r="AN41" s="97"/>
      <c r="AO41" s="93" t="s">
        <v>164</v>
      </c>
      <c r="AP41" s="427"/>
      <c r="AQ41" s="94" t="s">
        <v>358</v>
      </c>
      <c r="AR41" s="95"/>
      <c r="AS41" s="95"/>
      <c r="AT41" s="95"/>
    </row>
    <row r="42" spans="2:46" x14ac:dyDescent="0.25">
      <c r="B42" s="97"/>
      <c r="C42" s="93" t="s">
        <v>163</v>
      </c>
      <c r="D42" s="644"/>
      <c r="E42" s="94" t="s">
        <v>358</v>
      </c>
      <c r="F42" s="95"/>
      <c r="G42" s="95"/>
      <c r="H42" s="95"/>
      <c r="I42" s="109"/>
      <c r="J42" s="109"/>
      <c r="K42" s="97"/>
      <c r="L42" s="93" t="s">
        <v>163</v>
      </c>
      <c r="M42" s="633"/>
      <c r="N42" s="94" t="s">
        <v>358</v>
      </c>
      <c r="O42" s="95"/>
      <c r="P42" s="95"/>
      <c r="Q42" s="95"/>
      <c r="R42" s="109"/>
      <c r="S42" s="109"/>
      <c r="T42" s="97"/>
      <c r="U42" s="93" t="s">
        <v>163</v>
      </c>
      <c r="V42" s="140">
        <f>D42</f>
        <v>0</v>
      </c>
      <c r="W42" s="94" t="s">
        <v>358</v>
      </c>
      <c r="X42" s="95"/>
      <c r="Y42" s="95"/>
      <c r="Z42" s="95"/>
      <c r="AB42"/>
      <c r="AC42"/>
      <c r="AE42" s="97"/>
      <c r="AF42" s="93" t="s">
        <v>163</v>
      </c>
      <c r="AG42" s="145">
        <v>12</v>
      </c>
      <c r="AH42" s="94" t="s">
        <v>358</v>
      </c>
      <c r="AI42" s="95"/>
      <c r="AJ42" s="95"/>
      <c r="AK42" s="95"/>
      <c r="AL42" s="108"/>
      <c r="AN42" s="97"/>
      <c r="AO42" s="93" t="s">
        <v>163</v>
      </c>
      <c r="AP42" s="427"/>
      <c r="AQ42" s="94" t="s">
        <v>358</v>
      </c>
      <c r="AR42" s="95"/>
      <c r="AS42" s="95"/>
      <c r="AT42" s="95"/>
    </row>
    <row r="43" spans="2:46" x14ac:dyDescent="0.25">
      <c r="B43" s="97"/>
      <c r="C43" s="93" t="s">
        <v>28</v>
      </c>
      <c r="D43" s="644"/>
      <c r="E43" s="94" t="s">
        <v>358</v>
      </c>
      <c r="F43" s="95"/>
      <c r="G43" s="95"/>
      <c r="H43" s="95"/>
      <c r="I43" s="109"/>
      <c r="K43" s="97"/>
      <c r="L43" s="93" t="s">
        <v>28</v>
      </c>
      <c r="M43" s="633"/>
      <c r="N43" s="94" t="s">
        <v>358</v>
      </c>
      <c r="O43" s="95"/>
      <c r="P43" s="95"/>
      <c r="Q43" s="95"/>
      <c r="T43" s="97"/>
      <c r="U43" s="93" t="s">
        <v>28</v>
      </c>
      <c r="V43" s="140">
        <f>D43</f>
        <v>0</v>
      </c>
      <c r="W43" s="94" t="s">
        <v>358</v>
      </c>
      <c r="X43" s="95"/>
      <c r="Y43" s="95"/>
      <c r="Z43" s="95"/>
      <c r="AE43" s="97"/>
      <c r="AF43" s="93" t="s">
        <v>28</v>
      </c>
      <c r="AG43" s="145">
        <v>5</v>
      </c>
      <c r="AH43" s="94" t="s">
        <v>358</v>
      </c>
      <c r="AI43" s="95"/>
      <c r="AJ43" s="95"/>
      <c r="AK43" s="95"/>
      <c r="AL43" s="108"/>
      <c r="AN43" s="97"/>
      <c r="AO43" s="93" t="s">
        <v>28</v>
      </c>
      <c r="AP43" s="427"/>
      <c r="AQ43" s="94" t="s">
        <v>358</v>
      </c>
      <c r="AR43" s="95"/>
      <c r="AS43" s="95"/>
      <c r="AT43" s="95"/>
    </row>
    <row r="44" spans="2:46" ht="6" customHeight="1" x14ac:dyDescent="0.25">
      <c r="B44" s="96"/>
      <c r="C44" s="96"/>
      <c r="D44" s="96"/>
      <c r="E44" s="96"/>
      <c r="F44" s="96"/>
      <c r="G44" s="96"/>
      <c r="H44" s="96"/>
      <c r="K44" s="96"/>
      <c r="L44" s="96"/>
      <c r="M44" s="96"/>
      <c r="N44" s="96"/>
      <c r="O44" s="96"/>
      <c r="P44" s="96"/>
      <c r="Q44" s="96"/>
      <c r="T44" s="96"/>
      <c r="U44" s="96"/>
      <c r="V44" s="143"/>
      <c r="W44" s="96"/>
      <c r="X44" s="96"/>
      <c r="Y44" s="96"/>
      <c r="Z44" s="96"/>
      <c r="AE44" s="96"/>
      <c r="AF44" s="96"/>
      <c r="AG44" s="143"/>
      <c r="AH44" s="96"/>
      <c r="AI44" s="96"/>
      <c r="AJ44" s="96"/>
      <c r="AK44" s="96"/>
      <c r="AL44" s="108"/>
      <c r="AN44" s="96"/>
      <c r="AO44" s="96"/>
      <c r="AP44" s="143"/>
      <c r="AQ44" s="96"/>
      <c r="AR44" s="96"/>
      <c r="AS44" s="96"/>
      <c r="AT44" s="96"/>
    </row>
    <row r="45" spans="2:46" ht="15.75" x14ac:dyDescent="0.25">
      <c r="B45" s="723" t="s">
        <v>339</v>
      </c>
      <c r="C45" s="723"/>
      <c r="D45" s="723"/>
      <c r="E45" s="723"/>
      <c r="F45" s="723"/>
      <c r="G45" s="723"/>
      <c r="H45" s="723"/>
      <c r="K45" s="723" t="s">
        <v>339</v>
      </c>
      <c r="L45" s="723"/>
      <c r="M45" s="723"/>
      <c r="N45" s="723"/>
      <c r="O45" s="723"/>
      <c r="P45" s="723"/>
      <c r="Q45" s="723"/>
      <c r="T45" s="723" t="s">
        <v>339</v>
      </c>
      <c r="U45" s="723"/>
      <c r="V45" s="723"/>
      <c r="W45" s="723"/>
      <c r="X45" s="723"/>
      <c r="Y45" s="723"/>
      <c r="Z45" s="723"/>
      <c r="AE45" s="723" t="s">
        <v>339</v>
      </c>
      <c r="AF45" s="723"/>
      <c r="AG45" s="723"/>
      <c r="AH45" s="723"/>
      <c r="AI45" s="723"/>
      <c r="AJ45" s="723"/>
      <c r="AK45" s="723"/>
      <c r="AL45" s="108"/>
      <c r="AN45" s="723" t="s">
        <v>339</v>
      </c>
      <c r="AO45" s="723"/>
      <c r="AP45" s="723"/>
      <c r="AQ45" s="723"/>
      <c r="AR45" s="723"/>
      <c r="AS45" s="723"/>
      <c r="AT45" s="723"/>
    </row>
    <row r="46" spans="2:46" outlineLevel="1" x14ac:dyDescent="0.25">
      <c r="B46" s="98"/>
      <c r="C46" s="179" t="s">
        <v>153</v>
      </c>
      <c r="D46" s="644"/>
      <c r="E46" s="94" t="s">
        <v>356</v>
      </c>
      <c r="F46" s="59"/>
      <c r="G46" s="99"/>
      <c r="H46" s="99"/>
      <c r="K46" s="98"/>
      <c r="L46" s="179" t="s">
        <v>153</v>
      </c>
      <c r="M46" s="636"/>
      <c r="N46" s="94" t="s">
        <v>356</v>
      </c>
      <c r="O46" s="59"/>
      <c r="P46" s="99"/>
      <c r="Q46" s="99"/>
      <c r="T46" s="98"/>
      <c r="U46" s="179" t="s">
        <v>153</v>
      </c>
      <c r="V46" s="140">
        <f t="shared" ref="V46:V61" si="0">D46</f>
        <v>0</v>
      </c>
      <c r="W46" s="94" t="s">
        <v>356</v>
      </c>
      <c r="X46" s="59"/>
      <c r="Y46" s="99"/>
      <c r="Z46" s="99"/>
      <c r="AE46" s="86"/>
      <c r="AF46" s="179" t="s">
        <v>153</v>
      </c>
      <c r="AG46" s="145">
        <v>2</v>
      </c>
      <c r="AH46" s="94" t="s">
        <v>356</v>
      </c>
      <c r="AI46" s="87"/>
      <c r="AJ46" s="73"/>
      <c r="AK46" s="73"/>
      <c r="AL46" s="108"/>
      <c r="AN46" s="86"/>
      <c r="AO46" s="179" t="s">
        <v>153</v>
      </c>
      <c r="AP46" s="427"/>
      <c r="AQ46" s="94" t="s">
        <v>356</v>
      </c>
      <c r="AR46" s="87"/>
      <c r="AS46" s="73"/>
      <c r="AT46" s="73"/>
    </row>
    <row r="47" spans="2:46" outlineLevel="1" x14ac:dyDescent="0.25">
      <c r="B47" s="98"/>
      <c r="C47" s="179" t="s">
        <v>552</v>
      </c>
      <c r="D47" s="644"/>
      <c r="E47" s="94" t="s">
        <v>356</v>
      </c>
      <c r="F47" s="59"/>
      <c r="G47" s="99"/>
      <c r="H47" s="99"/>
      <c r="K47" s="98"/>
      <c r="L47" s="179" t="s">
        <v>552</v>
      </c>
      <c r="M47" s="636"/>
      <c r="N47" s="94" t="s">
        <v>356</v>
      </c>
      <c r="O47" s="59"/>
      <c r="P47" s="99"/>
      <c r="Q47" s="99"/>
      <c r="T47" s="98"/>
      <c r="U47" s="179" t="s">
        <v>552</v>
      </c>
      <c r="V47" s="140">
        <f t="shared" si="0"/>
        <v>0</v>
      </c>
      <c r="W47" s="94" t="s">
        <v>356</v>
      </c>
      <c r="X47" s="59"/>
      <c r="Y47" s="99"/>
      <c r="Z47" s="99"/>
      <c r="AE47" s="86"/>
      <c r="AF47" s="179" t="s">
        <v>552</v>
      </c>
      <c r="AG47" s="145">
        <v>0</v>
      </c>
      <c r="AH47" s="94" t="s">
        <v>356</v>
      </c>
      <c r="AI47" s="87"/>
      <c r="AJ47" s="73"/>
      <c r="AK47" s="73"/>
      <c r="AL47" s="108"/>
      <c r="AN47" s="86"/>
      <c r="AO47" s="179" t="s">
        <v>552</v>
      </c>
      <c r="AP47" s="427"/>
      <c r="AQ47" s="94" t="s">
        <v>356</v>
      </c>
      <c r="AR47" s="87"/>
      <c r="AS47" s="73"/>
      <c r="AT47" s="73"/>
    </row>
    <row r="48" spans="2:46" outlineLevel="1" x14ac:dyDescent="0.25">
      <c r="B48" s="98"/>
      <c r="C48" s="179" t="s">
        <v>552</v>
      </c>
      <c r="D48" s="644"/>
      <c r="E48" s="94" t="s">
        <v>357</v>
      </c>
      <c r="F48" s="59"/>
      <c r="G48" s="99"/>
      <c r="H48" s="99"/>
      <c r="K48" s="98"/>
      <c r="L48" s="179" t="s">
        <v>552</v>
      </c>
      <c r="M48" s="636"/>
      <c r="N48" s="94" t="s">
        <v>357</v>
      </c>
      <c r="O48" s="59"/>
      <c r="P48" s="99"/>
      <c r="Q48" s="99"/>
      <c r="T48" s="98"/>
      <c r="U48" s="179" t="s">
        <v>552</v>
      </c>
      <c r="V48" s="140">
        <f t="shared" si="0"/>
        <v>0</v>
      </c>
      <c r="W48" s="94" t="s">
        <v>357</v>
      </c>
      <c r="X48" s="59"/>
      <c r="Y48" s="99"/>
      <c r="Z48" s="99"/>
      <c r="AE48" s="86"/>
      <c r="AF48" s="179" t="s">
        <v>552</v>
      </c>
      <c r="AG48" s="145">
        <v>0</v>
      </c>
      <c r="AH48" s="94" t="s">
        <v>357</v>
      </c>
      <c r="AI48" s="87"/>
      <c r="AJ48" s="73"/>
      <c r="AK48" s="73"/>
      <c r="AL48" s="108"/>
      <c r="AN48" s="86"/>
      <c r="AO48" s="179" t="s">
        <v>552</v>
      </c>
      <c r="AP48" s="427"/>
      <c r="AQ48" s="94" t="s">
        <v>357</v>
      </c>
      <c r="AR48" s="87"/>
      <c r="AS48" s="73"/>
      <c r="AT48" s="73"/>
    </row>
    <row r="49" spans="2:46" outlineLevel="1" x14ac:dyDescent="0.25">
      <c r="B49" s="98"/>
      <c r="C49" s="179" t="s">
        <v>464</v>
      </c>
      <c r="D49" s="644"/>
      <c r="E49" s="94" t="s">
        <v>356</v>
      </c>
      <c r="F49" s="59"/>
      <c r="G49" s="99"/>
      <c r="H49" s="99"/>
      <c r="K49" s="98"/>
      <c r="L49" s="179" t="s">
        <v>464</v>
      </c>
      <c r="M49" s="636"/>
      <c r="N49" s="94" t="s">
        <v>356</v>
      </c>
      <c r="O49" s="59"/>
      <c r="P49" s="99"/>
      <c r="Q49" s="99"/>
      <c r="T49" s="98"/>
      <c r="U49" s="179" t="s">
        <v>464</v>
      </c>
      <c r="V49" s="140">
        <f t="shared" si="0"/>
        <v>0</v>
      </c>
      <c r="W49" s="94" t="s">
        <v>356</v>
      </c>
      <c r="X49" s="59"/>
      <c r="Y49" s="99"/>
      <c r="Z49" s="99"/>
      <c r="AE49" s="86"/>
      <c r="AF49" s="179" t="s">
        <v>464</v>
      </c>
      <c r="AG49" s="145">
        <v>0</v>
      </c>
      <c r="AH49" s="94" t="s">
        <v>356</v>
      </c>
      <c r="AI49" s="87"/>
      <c r="AJ49" s="73"/>
      <c r="AK49" s="73"/>
      <c r="AL49" s="108"/>
      <c r="AN49" s="86"/>
      <c r="AO49" s="179" t="s">
        <v>464</v>
      </c>
      <c r="AP49" s="427"/>
      <c r="AQ49" s="94" t="s">
        <v>356</v>
      </c>
      <c r="AR49" s="87"/>
      <c r="AS49" s="73"/>
      <c r="AT49" s="73"/>
    </row>
    <row r="50" spans="2:46" outlineLevel="1" x14ac:dyDescent="0.25">
      <c r="B50" s="98"/>
      <c r="C50" s="179" t="s">
        <v>464</v>
      </c>
      <c r="D50" s="644"/>
      <c r="E50" s="94" t="s">
        <v>357</v>
      </c>
      <c r="F50" s="59"/>
      <c r="G50" s="99"/>
      <c r="H50" s="99"/>
      <c r="K50" s="98"/>
      <c r="L50" s="179" t="s">
        <v>464</v>
      </c>
      <c r="M50" s="636"/>
      <c r="N50" s="94" t="s">
        <v>357</v>
      </c>
      <c r="O50" s="59"/>
      <c r="P50" s="99"/>
      <c r="Q50" s="99"/>
      <c r="T50" s="98"/>
      <c r="U50" s="179" t="s">
        <v>464</v>
      </c>
      <c r="V50" s="140">
        <f t="shared" si="0"/>
        <v>0</v>
      </c>
      <c r="W50" s="94" t="s">
        <v>357</v>
      </c>
      <c r="X50" s="59"/>
      <c r="Y50" s="99"/>
      <c r="Z50" s="99"/>
      <c r="AE50" s="86"/>
      <c r="AF50" s="179" t="s">
        <v>464</v>
      </c>
      <c r="AG50" s="145">
        <v>0</v>
      </c>
      <c r="AH50" s="94" t="s">
        <v>357</v>
      </c>
      <c r="AI50" s="87"/>
      <c r="AJ50" s="73"/>
      <c r="AK50" s="73"/>
      <c r="AL50" s="108"/>
      <c r="AN50" s="86"/>
      <c r="AO50" s="179" t="s">
        <v>464</v>
      </c>
      <c r="AP50" s="427"/>
      <c r="AQ50" s="94" t="s">
        <v>357</v>
      </c>
      <c r="AR50" s="87"/>
      <c r="AS50" s="73"/>
      <c r="AT50" s="73"/>
    </row>
    <row r="51" spans="2:46" outlineLevel="1" x14ac:dyDescent="0.25">
      <c r="B51" s="98"/>
      <c r="C51" s="179" t="s">
        <v>465</v>
      </c>
      <c r="D51" s="644"/>
      <c r="E51" s="94" t="s">
        <v>356</v>
      </c>
      <c r="F51" s="59"/>
      <c r="G51" s="99"/>
      <c r="H51" s="99"/>
      <c r="K51" s="98"/>
      <c r="L51" s="179" t="s">
        <v>465</v>
      </c>
      <c r="M51" s="636"/>
      <c r="N51" s="94" t="s">
        <v>356</v>
      </c>
      <c r="O51" s="59"/>
      <c r="P51" s="99"/>
      <c r="Q51" s="99"/>
      <c r="T51" s="98"/>
      <c r="U51" s="179" t="s">
        <v>465</v>
      </c>
      <c r="V51" s="140">
        <f t="shared" si="0"/>
        <v>0</v>
      </c>
      <c r="W51" s="94" t="s">
        <v>356</v>
      </c>
      <c r="X51" s="59"/>
      <c r="Y51" s="99"/>
      <c r="Z51" s="99"/>
      <c r="AE51" s="86"/>
      <c r="AF51" s="179" t="s">
        <v>465</v>
      </c>
      <c r="AG51" s="145">
        <v>0</v>
      </c>
      <c r="AH51" s="94" t="s">
        <v>356</v>
      </c>
      <c r="AI51" s="87"/>
      <c r="AJ51" s="73"/>
      <c r="AK51" s="73"/>
      <c r="AL51" s="108"/>
      <c r="AN51" s="86"/>
      <c r="AO51" s="179" t="s">
        <v>465</v>
      </c>
      <c r="AP51" s="427"/>
      <c r="AQ51" s="94" t="s">
        <v>356</v>
      </c>
      <c r="AR51" s="87"/>
      <c r="AS51" s="73"/>
      <c r="AT51" s="73"/>
    </row>
    <row r="52" spans="2:46" outlineLevel="1" x14ac:dyDescent="0.25">
      <c r="B52" s="98"/>
      <c r="C52" s="179" t="s">
        <v>457</v>
      </c>
      <c r="D52" s="644"/>
      <c r="E52" s="94" t="s">
        <v>356</v>
      </c>
      <c r="F52" s="59"/>
      <c r="G52" s="99"/>
      <c r="H52" s="99"/>
      <c r="K52" s="98"/>
      <c r="L52" s="179" t="s">
        <v>457</v>
      </c>
      <c r="M52" s="636"/>
      <c r="N52" s="94" t="s">
        <v>356</v>
      </c>
      <c r="O52" s="59"/>
      <c r="P52" s="99"/>
      <c r="Q52" s="99"/>
      <c r="T52" s="98"/>
      <c r="U52" s="179" t="s">
        <v>457</v>
      </c>
      <c r="V52" s="140">
        <f t="shared" si="0"/>
        <v>0</v>
      </c>
      <c r="W52" s="94" t="s">
        <v>356</v>
      </c>
      <c r="X52" s="59"/>
      <c r="Y52" s="99"/>
      <c r="Z52" s="99"/>
      <c r="AE52" s="86"/>
      <c r="AF52" s="179" t="s">
        <v>457</v>
      </c>
      <c r="AG52" s="145">
        <v>0</v>
      </c>
      <c r="AH52" s="94" t="s">
        <v>356</v>
      </c>
      <c r="AI52" s="87"/>
      <c r="AJ52" s="73"/>
      <c r="AK52" s="73"/>
      <c r="AL52" s="108"/>
      <c r="AN52" s="86"/>
      <c r="AO52" s="179" t="s">
        <v>457</v>
      </c>
      <c r="AP52" s="427"/>
      <c r="AQ52" s="94" t="s">
        <v>356</v>
      </c>
      <c r="AR52" s="87"/>
      <c r="AS52" s="73"/>
      <c r="AT52" s="73"/>
    </row>
    <row r="53" spans="2:46" outlineLevel="1" x14ac:dyDescent="0.25">
      <c r="B53" s="98"/>
      <c r="C53" s="179" t="s">
        <v>133</v>
      </c>
      <c r="D53" s="644"/>
      <c r="E53" s="94" t="s">
        <v>356</v>
      </c>
      <c r="F53" s="59"/>
      <c r="G53" s="99"/>
      <c r="H53" s="99"/>
      <c r="K53" s="98"/>
      <c r="L53" s="179" t="s">
        <v>133</v>
      </c>
      <c r="M53" s="636"/>
      <c r="N53" s="94" t="s">
        <v>356</v>
      </c>
      <c r="O53" s="95"/>
      <c r="P53" s="99"/>
      <c r="Q53" s="99"/>
      <c r="T53" s="98"/>
      <c r="U53" s="179" t="s">
        <v>133</v>
      </c>
      <c r="V53" s="140">
        <f t="shared" si="0"/>
        <v>0</v>
      </c>
      <c r="W53" s="94" t="s">
        <v>356</v>
      </c>
      <c r="X53" s="95"/>
      <c r="Y53" s="99"/>
      <c r="Z53" s="99"/>
      <c r="AE53" s="86"/>
      <c r="AF53" s="179" t="s">
        <v>133</v>
      </c>
      <c r="AG53" s="145">
        <v>0</v>
      </c>
      <c r="AH53" s="94" t="s">
        <v>356</v>
      </c>
      <c r="AI53" s="27"/>
      <c r="AJ53" s="73"/>
      <c r="AK53" s="73"/>
      <c r="AL53" s="108"/>
      <c r="AN53" s="86"/>
      <c r="AO53" s="179" t="s">
        <v>133</v>
      </c>
      <c r="AP53" s="427"/>
      <c r="AQ53" s="94" t="s">
        <v>356</v>
      </c>
      <c r="AR53" s="27"/>
      <c r="AS53" s="73"/>
      <c r="AT53" s="73"/>
    </row>
    <row r="54" spans="2:46" outlineLevel="1" x14ac:dyDescent="0.25">
      <c r="B54" s="98"/>
      <c r="C54" s="179" t="s">
        <v>458</v>
      </c>
      <c r="D54" s="644"/>
      <c r="E54" s="94" t="s">
        <v>356</v>
      </c>
      <c r="F54" s="59"/>
      <c r="G54" s="99"/>
      <c r="H54" s="99"/>
      <c r="K54" s="98"/>
      <c r="L54" s="179" t="s">
        <v>458</v>
      </c>
      <c r="M54" s="636"/>
      <c r="N54" s="94" t="s">
        <v>356</v>
      </c>
      <c r="O54" s="95"/>
      <c r="P54" s="99"/>
      <c r="Q54" s="99"/>
      <c r="T54" s="98"/>
      <c r="U54" s="179" t="s">
        <v>458</v>
      </c>
      <c r="V54" s="140">
        <f t="shared" si="0"/>
        <v>0</v>
      </c>
      <c r="W54" s="94" t="s">
        <v>356</v>
      </c>
      <c r="X54" s="95"/>
      <c r="Y54" s="99"/>
      <c r="Z54" s="99"/>
      <c r="AE54" s="86"/>
      <c r="AF54" s="179" t="s">
        <v>458</v>
      </c>
      <c r="AG54" s="145">
        <v>0</v>
      </c>
      <c r="AH54" s="94" t="s">
        <v>356</v>
      </c>
      <c r="AI54" s="27"/>
      <c r="AJ54" s="73"/>
      <c r="AK54" s="73"/>
      <c r="AL54" s="108"/>
      <c r="AN54" s="86"/>
      <c r="AO54" s="179" t="s">
        <v>458</v>
      </c>
      <c r="AP54" s="427"/>
      <c r="AQ54" s="94" t="s">
        <v>356</v>
      </c>
      <c r="AR54" s="27"/>
      <c r="AS54" s="73"/>
      <c r="AT54" s="73"/>
    </row>
    <row r="55" spans="2:46" outlineLevel="1" x14ac:dyDescent="0.25">
      <c r="B55" s="98"/>
      <c r="C55" s="179" t="s">
        <v>459</v>
      </c>
      <c r="D55" s="644"/>
      <c r="E55" s="94" t="s">
        <v>356</v>
      </c>
      <c r="F55" s="59"/>
      <c r="G55" s="99"/>
      <c r="H55" s="99"/>
      <c r="K55" s="98"/>
      <c r="L55" s="179" t="s">
        <v>459</v>
      </c>
      <c r="M55" s="636"/>
      <c r="N55" s="94" t="s">
        <v>356</v>
      </c>
      <c r="O55" s="95"/>
      <c r="P55" s="99"/>
      <c r="Q55" s="99"/>
      <c r="T55" s="98"/>
      <c r="U55" s="179" t="s">
        <v>459</v>
      </c>
      <c r="V55" s="140">
        <f t="shared" si="0"/>
        <v>0</v>
      </c>
      <c r="W55" s="94" t="s">
        <v>356</v>
      </c>
      <c r="X55" s="95"/>
      <c r="Y55" s="99"/>
      <c r="Z55" s="99"/>
      <c r="AE55" s="86"/>
      <c r="AF55" s="179" t="s">
        <v>459</v>
      </c>
      <c r="AG55" s="145">
        <v>0</v>
      </c>
      <c r="AH55" s="94" t="s">
        <v>356</v>
      </c>
      <c r="AI55" s="27"/>
      <c r="AJ55" s="73"/>
      <c r="AK55" s="73"/>
      <c r="AL55" s="108"/>
      <c r="AN55" s="86"/>
      <c r="AO55" s="179" t="s">
        <v>459</v>
      </c>
      <c r="AP55" s="427"/>
      <c r="AQ55" s="94" t="s">
        <v>356</v>
      </c>
      <c r="AR55" s="27"/>
      <c r="AS55" s="73"/>
      <c r="AT55" s="73"/>
    </row>
    <row r="56" spans="2:46" outlineLevel="1" x14ac:dyDescent="0.25">
      <c r="B56" s="98"/>
      <c r="C56" s="179" t="s">
        <v>460</v>
      </c>
      <c r="D56" s="644"/>
      <c r="E56" s="94" t="s">
        <v>357</v>
      </c>
      <c r="F56" s="59"/>
      <c r="G56" s="99"/>
      <c r="H56" s="99"/>
      <c r="K56" s="98"/>
      <c r="L56" s="179" t="s">
        <v>460</v>
      </c>
      <c r="M56" s="636"/>
      <c r="N56" s="94" t="s">
        <v>357</v>
      </c>
      <c r="O56" s="95"/>
      <c r="P56" s="99"/>
      <c r="Q56" s="99"/>
      <c r="T56" s="98"/>
      <c r="U56" s="179" t="s">
        <v>460</v>
      </c>
      <c r="V56" s="140">
        <f t="shared" si="0"/>
        <v>0</v>
      </c>
      <c r="W56" s="94" t="s">
        <v>357</v>
      </c>
      <c r="X56" s="95"/>
      <c r="Y56" s="99"/>
      <c r="Z56" s="99"/>
      <c r="AE56" s="86"/>
      <c r="AF56" s="179" t="s">
        <v>460</v>
      </c>
      <c r="AG56" s="145">
        <v>1</v>
      </c>
      <c r="AH56" s="94" t="s">
        <v>357</v>
      </c>
      <c r="AI56" s="27"/>
      <c r="AJ56" s="73"/>
      <c r="AK56" s="73"/>
      <c r="AL56" s="108"/>
      <c r="AN56" s="86"/>
      <c r="AO56" s="179" t="s">
        <v>460</v>
      </c>
      <c r="AP56" s="427"/>
      <c r="AQ56" s="94" t="s">
        <v>357</v>
      </c>
      <c r="AR56" s="27"/>
      <c r="AS56" s="73"/>
      <c r="AT56" s="73"/>
    </row>
    <row r="57" spans="2:46" outlineLevel="1" x14ac:dyDescent="0.25">
      <c r="B57" s="98"/>
      <c r="C57" s="179" t="s">
        <v>461</v>
      </c>
      <c r="D57" s="644"/>
      <c r="E57" s="94" t="s">
        <v>357</v>
      </c>
      <c r="F57" s="59"/>
      <c r="G57" s="99"/>
      <c r="H57" s="99"/>
      <c r="K57" s="98"/>
      <c r="L57" s="179" t="s">
        <v>461</v>
      </c>
      <c r="M57" s="636"/>
      <c r="N57" s="94" t="s">
        <v>357</v>
      </c>
      <c r="O57" s="95"/>
      <c r="P57" s="99"/>
      <c r="Q57" s="99"/>
      <c r="T57" s="98"/>
      <c r="U57" s="179" t="s">
        <v>461</v>
      </c>
      <c r="V57" s="140">
        <f t="shared" si="0"/>
        <v>0</v>
      </c>
      <c r="W57" s="94" t="s">
        <v>357</v>
      </c>
      <c r="X57" s="95"/>
      <c r="Y57" s="99"/>
      <c r="Z57" s="99"/>
      <c r="AE57" s="86"/>
      <c r="AF57" s="179" t="s">
        <v>461</v>
      </c>
      <c r="AG57" s="145">
        <v>0</v>
      </c>
      <c r="AH57" s="94" t="s">
        <v>357</v>
      </c>
      <c r="AI57" s="27"/>
      <c r="AJ57" s="73"/>
      <c r="AK57" s="73"/>
      <c r="AL57" s="108"/>
      <c r="AN57" s="86"/>
      <c r="AO57" s="179" t="s">
        <v>461</v>
      </c>
      <c r="AP57" s="427"/>
      <c r="AQ57" s="94" t="s">
        <v>357</v>
      </c>
      <c r="AR57" s="27"/>
      <c r="AS57" s="73"/>
      <c r="AT57" s="73"/>
    </row>
    <row r="58" spans="2:46" ht="16.5" customHeight="1" outlineLevel="1" x14ac:dyDescent="0.25">
      <c r="B58" s="98"/>
      <c r="C58" s="179" t="s">
        <v>462</v>
      </c>
      <c r="D58" s="644"/>
      <c r="E58" s="94" t="s">
        <v>359</v>
      </c>
      <c r="F58" s="59"/>
      <c r="G58" s="99"/>
      <c r="H58" s="99"/>
      <c r="K58" s="98"/>
      <c r="L58" s="179" t="s">
        <v>462</v>
      </c>
      <c r="M58" s="636"/>
      <c r="N58" s="94" t="s">
        <v>359</v>
      </c>
      <c r="O58" s="95"/>
      <c r="P58" s="99"/>
      <c r="Q58" s="99"/>
      <c r="T58" s="98"/>
      <c r="U58" s="179" t="s">
        <v>462</v>
      </c>
      <c r="V58" s="140">
        <f t="shared" si="0"/>
        <v>0</v>
      </c>
      <c r="W58" s="94" t="s">
        <v>359</v>
      </c>
      <c r="X58" s="95"/>
      <c r="Y58" s="99"/>
      <c r="Z58" s="99"/>
      <c r="AE58" s="86"/>
      <c r="AF58" s="179" t="s">
        <v>462</v>
      </c>
      <c r="AG58" s="145">
        <v>2</v>
      </c>
      <c r="AH58" s="94" t="s">
        <v>359</v>
      </c>
      <c r="AI58" s="27"/>
      <c r="AJ58" s="73"/>
      <c r="AK58" s="73"/>
      <c r="AL58" s="108"/>
      <c r="AN58" s="86"/>
      <c r="AO58" s="179" t="s">
        <v>462</v>
      </c>
      <c r="AP58" s="427"/>
      <c r="AQ58" s="94" t="s">
        <v>359</v>
      </c>
      <c r="AR58" s="27"/>
      <c r="AS58" s="73"/>
      <c r="AT58" s="73"/>
    </row>
    <row r="59" spans="2:46" outlineLevel="1" x14ac:dyDescent="0.25">
      <c r="B59" s="93" t="s">
        <v>30</v>
      </c>
      <c r="C59" s="634" t="s">
        <v>167</v>
      </c>
      <c r="D59" s="644"/>
      <c r="E59" s="94" t="s">
        <v>356</v>
      </c>
      <c r="F59" s="59"/>
      <c r="G59" s="99"/>
      <c r="H59" s="99"/>
      <c r="K59" s="93" t="s">
        <v>30</v>
      </c>
      <c r="L59" s="629" t="s">
        <v>167</v>
      </c>
      <c r="M59" s="636"/>
      <c r="N59" s="94" t="s">
        <v>356</v>
      </c>
      <c r="O59" s="95"/>
      <c r="P59" s="99"/>
      <c r="Q59" s="99"/>
      <c r="T59" s="93" t="s">
        <v>30</v>
      </c>
      <c r="U59" s="28" t="s">
        <v>167</v>
      </c>
      <c r="V59" s="140">
        <f t="shared" si="0"/>
        <v>0</v>
      </c>
      <c r="W59" s="94" t="s">
        <v>356</v>
      </c>
      <c r="X59" s="95"/>
      <c r="Y59" s="99"/>
      <c r="Z59" s="99"/>
      <c r="AE59" s="24" t="s">
        <v>154</v>
      </c>
      <c r="AF59" s="44" t="s">
        <v>167</v>
      </c>
      <c r="AG59" s="145">
        <v>0</v>
      </c>
      <c r="AH59" s="94" t="s">
        <v>356</v>
      </c>
      <c r="AI59" s="27"/>
      <c r="AJ59" s="73"/>
      <c r="AK59" s="73"/>
      <c r="AL59" s="108"/>
      <c r="AN59" s="24" t="s">
        <v>154</v>
      </c>
      <c r="AO59" s="44" t="s">
        <v>167</v>
      </c>
      <c r="AP59" s="427"/>
      <c r="AQ59" s="94" t="s">
        <v>356</v>
      </c>
      <c r="AR59" s="27"/>
      <c r="AS59" s="73"/>
      <c r="AT59" s="73"/>
    </row>
    <row r="60" spans="2:46" outlineLevel="1" x14ac:dyDescent="0.25">
      <c r="B60" s="93" t="s">
        <v>30</v>
      </c>
      <c r="C60" s="634" t="s">
        <v>167</v>
      </c>
      <c r="D60" s="644"/>
      <c r="E60" s="94" t="s">
        <v>357</v>
      </c>
      <c r="F60" s="59"/>
      <c r="G60" s="99"/>
      <c r="H60" s="99"/>
      <c r="J60" s="110"/>
      <c r="K60" s="93" t="s">
        <v>30</v>
      </c>
      <c r="L60" s="629" t="s">
        <v>167</v>
      </c>
      <c r="M60" s="636"/>
      <c r="N60" s="94" t="s">
        <v>357</v>
      </c>
      <c r="O60" s="95"/>
      <c r="P60" s="99"/>
      <c r="Q60" s="99"/>
      <c r="S60" s="110"/>
      <c r="T60" s="93" t="s">
        <v>30</v>
      </c>
      <c r="U60" s="28" t="s">
        <v>167</v>
      </c>
      <c r="V60" s="140">
        <f t="shared" si="0"/>
        <v>0</v>
      </c>
      <c r="W60" s="94" t="s">
        <v>357</v>
      </c>
      <c r="X60" s="95"/>
      <c r="Y60" s="99"/>
      <c r="Z60" s="99"/>
      <c r="AE60" s="24" t="s">
        <v>154</v>
      </c>
      <c r="AF60" s="44" t="s">
        <v>167</v>
      </c>
      <c r="AG60" s="145">
        <v>0</v>
      </c>
      <c r="AH60" s="94" t="s">
        <v>357</v>
      </c>
      <c r="AI60" s="27"/>
      <c r="AJ60" s="73"/>
      <c r="AK60" s="73"/>
      <c r="AL60" s="108"/>
      <c r="AN60" s="24" t="s">
        <v>154</v>
      </c>
      <c r="AO60" s="44" t="s">
        <v>167</v>
      </c>
      <c r="AP60" s="427"/>
      <c r="AQ60" s="94" t="s">
        <v>357</v>
      </c>
      <c r="AR60" s="27"/>
      <c r="AS60" s="73"/>
      <c r="AT60" s="73"/>
    </row>
    <row r="61" spans="2:46" outlineLevel="1" x14ac:dyDescent="0.25">
      <c r="B61" s="93" t="s">
        <v>30</v>
      </c>
      <c r="C61" s="635" t="s">
        <v>167</v>
      </c>
      <c r="D61" s="644"/>
      <c r="E61" s="94" t="s">
        <v>359</v>
      </c>
      <c r="F61" s="59"/>
      <c r="G61" s="99"/>
      <c r="H61" s="99"/>
      <c r="K61" s="93" t="s">
        <v>30</v>
      </c>
      <c r="L61" s="637" t="s">
        <v>167</v>
      </c>
      <c r="M61" s="636"/>
      <c r="N61" s="94" t="s">
        <v>359</v>
      </c>
      <c r="O61" s="95"/>
      <c r="P61" s="99"/>
      <c r="Q61" s="99"/>
      <c r="T61" s="93" t="s">
        <v>30</v>
      </c>
      <c r="U61" s="30" t="s">
        <v>167</v>
      </c>
      <c r="V61" s="140">
        <f t="shared" si="0"/>
        <v>0</v>
      </c>
      <c r="W61" s="94" t="s">
        <v>359</v>
      </c>
      <c r="X61" s="95"/>
      <c r="Y61" s="99"/>
      <c r="Z61" s="99"/>
      <c r="AE61" s="24" t="s">
        <v>154</v>
      </c>
      <c r="AF61" s="30" t="s">
        <v>167</v>
      </c>
      <c r="AG61" s="145">
        <v>0</v>
      </c>
      <c r="AH61" s="94" t="s">
        <v>359</v>
      </c>
      <c r="AI61" s="27"/>
      <c r="AJ61" s="73"/>
      <c r="AK61" s="73"/>
      <c r="AL61" s="108"/>
      <c r="AN61" s="24" t="s">
        <v>154</v>
      </c>
      <c r="AO61" s="30" t="s">
        <v>167</v>
      </c>
      <c r="AP61" s="427"/>
      <c r="AQ61" s="94" t="s">
        <v>359</v>
      </c>
      <c r="AR61" s="27"/>
      <c r="AS61" s="73"/>
      <c r="AT61" s="73"/>
    </row>
    <row r="62" spans="2:46" ht="6" customHeight="1" x14ac:dyDescent="0.25">
      <c r="B62" s="96"/>
      <c r="C62" s="96"/>
      <c r="D62" s="96"/>
      <c r="E62" s="96"/>
      <c r="F62" s="96"/>
      <c r="G62" s="96"/>
      <c r="H62" s="96"/>
      <c r="K62" s="96"/>
      <c r="L62" s="96"/>
      <c r="M62" s="96"/>
      <c r="N62" s="96"/>
      <c r="O62" s="96"/>
      <c r="P62" s="96"/>
      <c r="Q62" s="96"/>
      <c r="T62" s="96"/>
      <c r="U62" s="96"/>
      <c r="V62" s="96"/>
      <c r="W62" s="96"/>
      <c r="X62" s="96"/>
      <c r="Y62" s="96"/>
      <c r="Z62" s="96"/>
      <c r="AE62" s="29"/>
      <c r="AF62" s="73"/>
      <c r="AG62" s="73"/>
      <c r="AH62" s="73"/>
      <c r="AI62" s="27"/>
      <c r="AJ62" s="27"/>
      <c r="AK62" s="27"/>
      <c r="AL62" s="108"/>
      <c r="AN62" s="29"/>
      <c r="AO62" s="73"/>
      <c r="AP62" s="73"/>
      <c r="AQ62" s="73"/>
      <c r="AR62" s="27"/>
      <c r="AS62" s="27"/>
      <c r="AT62" s="27"/>
    </row>
    <row r="63" spans="2:46" ht="15.75" x14ac:dyDescent="0.25">
      <c r="B63" s="723" t="s">
        <v>360</v>
      </c>
      <c r="C63" s="723"/>
      <c r="D63" s="723"/>
      <c r="E63" s="723"/>
      <c r="F63" s="723"/>
      <c r="G63" s="723"/>
      <c r="H63" s="723"/>
      <c r="K63" s="723" t="s">
        <v>360</v>
      </c>
      <c r="L63" s="723"/>
      <c r="M63" s="723"/>
      <c r="N63" s="723"/>
      <c r="O63" s="723"/>
      <c r="P63" s="723"/>
      <c r="Q63" s="723"/>
      <c r="T63" s="723" t="s">
        <v>360</v>
      </c>
      <c r="U63" s="723"/>
      <c r="V63" s="723"/>
      <c r="W63" s="723"/>
      <c r="X63" s="723"/>
      <c r="Y63" s="723"/>
      <c r="Z63" s="723"/>
      <c r="AE63" s="723" t="s">
        <v>360</v>
      </c>
      <c r="AF63" s="723"/>
      <c r="AG63" s="723"/>
      <c r="AH63" s="723"/>
      <c r="AI63" s="723"/>
      <c r="AJ63" s="723"/>
      <c r="AK63" s="723"/>
      <c r="AL63" s="108"/>
      <c r="AN63" s="723" t="s">
        <v>360</v>
      </c>
      <c r="AO63" s="723"/>
      <c r="AP63" s="723"/>
      <c r="AQ63" s="723"/>
      <c r="AR63" s="723"/>
      <c r="AS63" s="723"/>
      <c r="AT63" s="723"/>
    </row>
    <row r="64" spans="2:46" x14ac:dyDescent="0.25">
      <c r="B64" s="93"/>
      <c r="C64" s="93" t="s">
        <v>345</v>
      </c>
      <c r="D64" s="644"/>
      <c r="E64" s="94" t="s">
        <v>363</v>
      </c>
      <c r="F64" s="117" t="s">
        <v>205</v>
      </c>
      <c r="G64" s="644"/>
      <c r="H64" s="118" t="s">
        <v>364</v>
      </c>
      <c r="K64" s="93"/>
      <c r="L64" s="93" t="s">
        <v>345</v>
      </c>
      <c r="M64" s="640"/>
      <c r="N64" s="94" t="s">
        <v>363</v>
      </c>
      <c r="O64" s="117" t="s">
        <v>205</v>
      </c>
      <c r="P64" s="641">
        <v>0.375</v>
      </c>
      <c r="Q64" s="118" t="s">
        <v>364</v>
      </c>
      <c r="T64" s="93"/>
      <c r="U64" s="93" t="s">
        <v>345</v>
      </c>
      <c r="V64" s="140">
        <f>D64</f>
        <v>0</v>
      </c>
      <c r="W64" s="94" t="s">
        <v>363</v>
      </c>
      <c r="X64" s="117" t="s">
        <v>205</v>
      </c>
      <c r="Y64" s="140">
        <f>G64</f>
        <v>0</v>
      </c>
      <c r="Z64" s="118" t="s">
        <v>364</v>
      </c>
      <c r="AE64" s="93"/>
      <c r="AF64" s="93" t="s">
        <v>345</v>
      </c>
      <c r="AG64" s="146">
        <v>1000</v>
      </c>
      <c r="AH64" s="94" t="s">
        <v>363</v>
      </c>
      <c r="AI64" s="117" t="s">
        <v>205</v>
      </c>
      <c r="AJ64" s="147">
        <v>0.375</v>
      </c>
      <c r="AK64" s="118" t="s">
        <v>364</v>
      </c>
      <c r="AL64" s="108"/>
      <c r="AN64" s="93"/>
      <c r="AO64" s="93" t="s">
        <v>345</v>
      </c>
      <c r="AP64" s="428">
        <v>440.2</v>
      </c>
      <c r="AQ64" s="94" t="s">
        <v>363</v>
      </c>
      <c r="AR64" s="117" t="s">
        <v>205</v>
      </c>
      <c r="AS64" s="429">
        <v>0.375</v>
      </c>
      <c r="AT64" s="118" t="s">
        <v>364</v>
      </c>
    </row>
    <row r="65" spans="2:46" x14ac:dyDescent="0.25">
      <c r="B65" s="93"/>
      <c r="C65" s="93" t="s">
        <v>361</v>
      </c>
      <c r="D65" s="644"/>
      <c r="E65" s="94" t="s">
        <v>358</v>
      </c>
      <c r="F65" s="117" t="s">
        <v>205</v>
      </c>
      <c r="G65" s="644"/>
      <c r="H65" s="118" t="s">
        <v>365</v>
      </c>
      <c r="K65" s="93"/>
      <c r="L65" s="93" t="s">
        <v>361</v>
      </c>
      <c r="M65" s="640"/>
      <c r="N65" s="94" t="s">
        <v>358</v>
      </c>
      <c r="O65" s="117" t="s">
        <v>205</v>
      </c>
      <c r="P65" s="641">
        <v>2.8</v>
      </c>
      <c r="Q65" s="118" t="s">
        <v>365</v>
      </c>
      <c r="T65" s="93"/>
      <c r="U65" s="93" t="s">
        <v>361</v>
      </c>
      <c r="V65" s="140">
        <f>D65</f>
        <v>0</v>
      </c>
      <c r="W65" s="94" t="s">
        <v>358</v>
      </c>
      <c r="X65" s="117" t="s">
        <v>205</v>
      </c>
      <c r="Y65" s="140">
        <f>G65</f>
        <v>0</v>
      </c>
      <c r="Z65" s="118" t="s">
        <v>365</v>
      </c>
      <c r="AE65" s="93"/>
      <c r="AF65" s="93" t="s">
        <v>361</v>
      </c>
      <c r="AG65" s="146">
        <v>42.800000000000011</v>
      </c>
      <c r="AH65" s="94" t="s">
        <v>358</v>
      </c>
      <c r="AI65" s="117" t="s">
        <v>205</v>
      </c>
      <c r="AJ65" s="147">
        <v>2.8</v>
      </c>
      <c r="AK65" s="118" t="s">
        <v>365</v>
      </c>
      <c r="AL65" s="108"/>
      <c r="AN65" s="93"/>
      <c r="AO65" s="93" t="s">
        <v>361</v>
      </c>
      <c r="AP65" s="428">
        <v>30.571428571428577</v>
      </c>
      <c r="AQ65" s="94" t="s">
        <v>358</v>
      </c>
      <c r="AR65" s="117" t="s">
        <v>205</v>
      </c>
      <c r="AS65" s="429">
        <v>2.8</v>
      </c>
      <c r="AT65" s="118" t="s">
        <v>365</v>
      </c>
    </row>
    <row r="66" spans="2:46" x14ac:dyDescent="0.25">
      <c r="B66" s="93"/>
      <c r="C66" s="93" t="s">
        <v>362</v>
      </c>
      <c r="D66" s="644"/>
      <c r="E66" s="94" t="s">
        <v>358</v>
      </c>
      <c r="F66" s="117" t="s">
        <v>205</v>
      </c>
      <c r="G66" s="644"/>
      <c r="H66" s="118" t="s">
        <v>365</v>
      </c>
      <c r="K66" s="93"/>
      <c r="L66" s="93" t="s">
        <v>362</v>
      </c>
      <c r="M66" s="640"/>
      <c r="N66" s="94" t="s">
        <v>358</v>
      </c>
      <c r="O66" s="117" t="s">
        <v>205</v>
      </c>
      <c r="P66" s="641"/>
      <c r="Q66" s="118" t="s">
        <v>365</v>
      </c>
      <c r="T66" s="93"/>
      <c r="U66" s="93" t="s">
        <v>362</v>
      </c>
      <c r="V66" s="140">
        <f>D66</f>
        <v>0</v>
      </c>
      <c r="W66" s="94" t="s">
        <v>358</v>
      </c>
      <c r="X66" s="117" t="s">
        <v>205</v>
      </c>
      <c r="Y66" s="140">
        <f>G66</f>
        <v>0</v>
      </c>
      <c r="Z66" s="118" t="s">
        <v>365</v>
      </c>
      <c r="AE66" s="93"/>
      <c r="AF66" s="93" t="s">
        <v>362</v>
      </c>
      <c r="AG66" s="146">
        <v>10.08</v>
      </c>
      <c r="AH66" s="94" t="s">
        <v>358</v>
      </c>
      <c r="AI66" s="117" t="s">
        <v>205</v>
      </c>
      <c r="AJ66" s="147"/>
      <c r="AK66" s="118" t="s">
        <v>365</v>
      </c>
      <c r="AL66" s="108"/>
      <c r="AN66" s="93"/>
      <c r="AO66" s="93" t="s">
        <v>362</v>
      </c>
      <c r="AP66" s="428">
        <v>7.2</v>
      </c>
      <c r="AQ66" s="94" t="s">
        <v>358</v>
      </c>
      <c r="AR66" s="117" t="s">
        <v>205</v>
      </c>
      <c r="AS66" s="429"/>
      <c r="AT66" s="118" t="s">
        <v>365</v>
      </c>
    </row>
    <row r="67" spans="2:46" x14ac:dyDescent="0.25">
      <c r="B67" s="93" t="s">
        <v>30</v>
      </c>
      <c r="C67" s="634" t="s">
        <v>167</v>
      </c>
      <c r="D67" s="644"/>
      <c r="E67" s="94" t="s">
        <v>358</v>
      </c>
      <c r="F67" s="117" t="s">
        <v>205</v>
      </c>
      <c r="G67" s="644"/>
      <c r="H67" s="118" t="s">
        <v>365</v>
      </c>
      <c r="K67" s="93" t="s">
        <v>30</v>
      </c>
      <c r="L67" s="629" t="s">
        <v>167</v>
      </c>
      <c r="M67" s="640"/>
      <c r="N67" s="94" t="s">
        <v>358</v>
      </c>
      <c r="O67" s="117" t="s">
        <v>205</v>
      </c>
      <c r="P67" s="641"/>
      <c r="Q67" s="118" t="s">
        <v>365</v>
      </c>
      <c r="T67" s="93" t="s">
        <v>30</v>
      </c>
      <c r="U67" s="28" t="s">
        <v>167</v>
      </c>
      <c r="V67" s="140">
        <f>D67</f>
        <v>0</v>
      </c>
      <c r="W67" s="94" t="s">
        <v>358</v>
      </c>
      <c r="X67" s="117" t="s">
        <v>205</v>
      </c>
      <c r="Y67" s="140">
        <f>G67</f>
        <v>0</v>
      </c>
      <c r="Z67" s="118" t="s">
        <v>365</v>
      </c>
      <c r="AE67" s="93" t="s">
        <v>30</v>
      </c>
      <c r="AF67" s="28" t="s">
        <v>167</v>
      </c>
      <c r="AG67" s="146">
        <v>0</v>
      </c>
      <c r="AH67" s="94" t="s">
        <v>358</v>
      </c>
      <c r="AI67" s="117" t="s">
        <v>205</v>
      </c>
      <c r="AJ67" s="147"/>
      <c r="AK67" s="118" t="s">
        <v>365</v>
      </c>
      <c r="AL67" s="108"/>
      <c r="AN67" s="93" t="s">
        <v>30</v>
      </c>
      <c r="AO67" s="28" t="s">
        <v>167</v>
      </c>
      <c r="AP67" s="428">
        <v>0</v>
      </c>
      <c r="AQ67" s="94" t="s">
        <v>358</v>
      </c>
      <c r="AR67" s="117" t="s">
        <v>205</v>
      </c>
      <c r="AS67" s="429"/>
      <c r="AT67" s="118" t="s">
        <v>365</v>
      </c>
    </row>
    <row r="68" spans="2:46" x14ac:dyDescent="0.25">
      <c r="B68" s="93" t="s">
        <v>30</v>
      </c>
      <c r="C68" s="634" t="s">
        <v>167</v>
      </c>
      <c r="D68" s="644"/>
      <c r="E68" s="94" t="s">
        <v>358</v>
      </c>
      <c r="F68" s="117" t="s">
        <v>205</v>
      </c>
      <c r="G68" s="644"/>
      <c r="H68" s="118" t="s">
        <v>365</v>
      </c>
      <c r="K68" s="93" t="s">
        <v>30</v>
      </c>
      <c r="L68" s="629" t="s">
        <v>167</v>
      </c>
      <c r="M68" s="640"/>
      <c r="N68" s="94" t="s">
        <v>358</v>
      </c>
      <c r="O68" s="117" t="s">
        <v>205</v>
      </c>
      <c r="P68" s="641"/>
      <c r="Q68" s="118" t="s">
        <v>365</v>
      </c>
      <c r="T68" s="93" t="s">
        <v>30</v>
      </c>
      <c r="U68" s="28" t="s">
        <v>167</v>
      </c>
      <c r="V68" s="140">
        <f>D68</f>
        <v>0</v>
      </c>
      <c r="W68" s="94" t="s">
        <v>358</v>
      </c>
      <c r="X68" s="117" t="s">
        <v>205</v>
      </c>
      <c r="Y68" s="140">
        <f>G68</f>
        <v>0</v>
      </c>
      <c r="Z68" s="118" t="s">
        <v>365</v>
      </c>
      <c r="AE68" s="93" t="s">
        <v>30</v>
      </c>
      <c r="AF68" s="28" t="s">
        <v>167</v>
      </c>
      <c r="AG68" s="146">
        <v>0</v>
      </c>
      <c r="AH68" s="94" t="s">
        <v>358</v>
      </c>
      <c r="AI68" s="117" t="s">
        <v>205</v>
      </c>
      <c r="AJ68" s="147"/>
      <c r="AK68" s="118" t="s">
        <v>365</v>
      </c>
      <c r="AL68" s="108"/>
      <c r="AN68" s="93" t="s">
        <v>30</v>
      </c>
      <c r="AO68" s="28" t="s">
        <v>167</v>
      </c>
      <c r="AP68" s="428"/>
      <c r="AQ68" s="94" t="s">
        <v>358</v>
      </c>
      <c r="AR68" s="117" t="s">
        <v>205</v>
      </c>
      <c r="AS68" s="429"/>
      <c r="AT68" s="118" t="s">
        <v>365</v>
      </c>
    </row>
    <row r="69" spans="2:46" ht="6" customHeight="1" x14ac:dyDescent="0.25">
      <c r="B69" s="25"/>
      <c r="C69" s="25"/>
      <c r="D69" s="25"/>
      <c r="E69" s="25"/>
      <c r="F69" s="25"/>
      <c r="G69" s="25"/>
      <c r="H69" s="25"/>
      <c r="K69" s="25"/>
      <c r="L69" s="25"/>
      <c r="M69" s="25"/>
      <c r="N69" s="25"/>
      <c r="O69" s="25"/>
      <c r="P69" s="25"/>
      <c r="Q69" s="25"/>
      <c r="T69" s="25"/>
      <c r="U69" s="25"/>
      <c r="V69" s="25"/>
      <c r="W69" s="25"/>
      <c r="X69" s="25"/>
      <c r="Y69" s="27"/>
      <c r="Z69" s="25"/>
      <c r="AE69" s="25"/>
      <c r="AF69" s="25"/>
      <c r="AG69" s="25"/>
      <c r="AH69" s="25"/>
      <c r="AI69" s="25"/>
      <c r="AJ69" s="27"/>
      <c r="AK69" s="25"/>
      <c r="AL69" s="108"/>
      <c r="AN69" s="25"/>
      <c r="AO69" s="25"/>
      <c r="AP69" s="25"/>
      <c r="AQ69" s="25"/>
      <c r="AR69" s="25"/>
      <c r="AS69" s="27"/>
      <c r="AT69" s="25"/>
    </row>
    <row r="70" spans="2:46" ht="15.75" x14ac:dyDescent="0.25">
      <c r="B70" s="723" t="s">
        <v>243</v>
      </c>
      <c r="C70" s="723"/>
      <c r="D70" s="723"/>
      <c r="E70" s="723"/>
      <c r="F70" s="723"/>
      <c r="G70" s="723"/>
      <c r="H70" s="723"/>
      <c r="K70" s="723" t="s">
        <v>243</v>
      </c>
      <c r="L70" s="723"/>
      <c r="M70" s="723"/>
      <c r="N70" s="723"/>
      <c r="O70" s="723"/>
      <c r="P70" s="723"/>
      <c r="Q70" s="723"/>
      <c r="T70" s="723" t="s">
        <v>243</v>
      </c>
      <c r="U70" s="723"/>
      <c r="V70" s="723"/>
      <c r="W70" s="723"/>
      <c r="X70" s="723"/>
      <c r="Y70" s="723"/>
      <c r="Z70" s="723"/>
      <c r="AE70" s="723" t="s">
        <v>243</v>
      </c>
      <c r="AF70" s="723"/>
      <c r="AG70" s="723"/>
      <c r="AH70" s="723"/>
      <c r="AI70" s="723"/>
      <c r="AJ70" s="723"/>
      <c r="AK70" s="723"/>
      <c r="AL70" s="108"/>
      <c r="AN70" s="723" t="s">
        <v>243</v>
      </c>
      <c r="AO70" s="723"/>
      <c r="AP70" s="723"/>
      <c r="AQ70" s="723"/>
      <c r="AR70" s="723"/>
      <c r="AS70" s="723"/>
      <c r="AT70" s="723"/>
    </row>
    <row r="71" spans="2:46" x14ac:dyDescent="0.25">
      <c r="B71" s="25"/>
      <c r="C71" s="93" t="s">
        <v>366</v>
      </c>
      <c r="D71" s="644"/>
      <c r="E71" s="94" t="s">
        <v>363</v>
      </c>
      <c r="F71" s="27"/>
      <c r="G71" s="27"/>
      <c r="H71" s="73"/>
      <c r="K71" s="25"/>
      <c r="L71" s="93" t="s">
        <v>366</v>
      </c>
      <c r="M71" s="636"/>
      <c r="N71" s="94" t="s">
        <v>363</v>
      </c>
      <c r="O71" s="27"/>
      <c r="P71" s="27"/>
      <c r="Q71" s="73"/>
      <c r="T71" s="25"/>
      <c r="U71" s="93" t="s">
        <v>366</v>
      </c>
      <c r="V71" s="140">
        <f t="shared" ref="V71:V85" si="1">D71</f>
        <v>0</v>
      </c>
      <c r="W71" s="94" t="s">
        <v>363</v>
      </c>
      <c r="X71" s="27"/>
      <c r="Y71" s="27"/>
      <c r="Z71" s="73"/>
      <c r="AE71" s="25"/>
      <c r="AF71" s="93" t="s">
        <v>366</v>
      </c>
      <c r="AG71" s="145">
        <v>0</v>
      </c>
      <c r="AH71" s="94" t="s">
        <v>363</v>
      </c>
      <c r="AI71" s="27"/>
      <c r="AJ71" s="27"/>
      <c r="AK71" s="73"/>
      <c r="AL71" s="108"/>
      <c r="AN71" s="25"/>
      <c r="AO71" s="93" t="s">
        <v>366</v>
      </c>
      <c r="AP71" s="427"/>
      <c r="AQ71" s="94" t="s">
        <v>363</v>
      </c>
      <c r="AR71" s="27"/>
      <c r="AS71" s="27"/>
      <c r="AT71" s="73"/>
    </row>
    <row r="72" spans="2:46" x14ac:dyDescent="0.25">
      <c r="B72" s="25"/>
      <c r="C72" s="93" t="s">
        <v>367</v>
      </c>
      <c r="D72" s="644"/>
      <c r="E72" s="94" t="s">
        <v>363</v>
      </c>
      <c r="F72" s="27"/>
      <c r="G72" s="27"/>
      <c r="H72" s="73"/>
      <c r="K72" s="25"/>
      <c r="L72" s="93" t="s">
        <v>367</v>
      </c>
      <c r="M72" s="636"/>
      <c r="N72" s="94" t="s">
        <v>363</v>
      </c>
      <c r="O72" s="27"/>
      <c r="P72" s="27"/>
      <c r="Q72" s="73"/>
      <c r="T72" s="25"/>
      <c r="U72" s="93" t="s">
        <v>367</v>
      </c>
      <c r="V72" s="140">
        <f t="shared" si="1"/>
        <v>0</v>
      </c>
      <c r="W72" s="94" t="s">
        <v>363</v>
      </c>
      <c r="X72" s="27"/>
      <c r="Y72" s="27"/>
      <c r="Z72" s="73"/>
      <c r="AE72" s="25"/>
      <c r="AF72" s="93" t="s">
        <v>367</v>
      </c>
      <c r="AG72" s="145">
        <v>6</v>
      </c>
      <c r="AH72" s="94" t="s">
        <v>363</v>
      </c>
      <c r="AI72" s="27"/>
      <c r="AJ72" s="27"/>
      <c r="AK72" s="73"/>
      <c r="AL72" s="108"/>
      <c r="AN72" s="25"/>
      <c r="AO72" s="93" t="s">
        <v>367</v>
      </c>
      <c r="AP72" s="427"/>
      <c r="AQ72" s="94" t="s">
        <v>363</v>
      </c>
      <c r="AR72" s="27"/>
      <c r="AS72" s="27"/>
      <c r="AT72" s="73"/>
    </row>
    <row r="73" spans="2:46" ht="25.5" x14ac:dyDescent="0.25">
      <c r="B73" s="25"/>
      <c r="C73" s="93" t="s">
        <v>368</v>
      </c>
      <c r="D73" s="644"/>
      <c r="E73" s="94" t="s">
        <v>363</v>
      </c>
      <c r="F73" s="141" t="s">
        <v>379</v>
      </c>
      <c r="G73" s="670"/>
      <c r="H73" s="118"/>
      <c r="K73" s="25"/>
      <c r="L73" s="93" t="s">
        <v>368</v>
      </c>
      <c r="M73" s="636"/>
      <c r="N73" s="94" t="s">
        <v>363</v>
      </c>
      <c r="O73" s="141" t="s">
        <v>379</v>
      </c>
      <c r="P73" s="643">
        <v>0.11</v>
      </c>
      <c r="Q73" s="118"/>
      <c r="T73" s="25"/>
      <c r="U73" s="93" t="s">
        <v>368</v>
      </c>
      <c r="V73" s="140">
        <f t="shared" si="1"/>
        <v>0</v>
      </c>
      <c r="W73" s="94" t="s">
        <v>363</v>
      </c>
      <c r="X73" s="141" t="s">
        <v>380</v>
      </c>
      <c r="Y73" s="140">
        <f>G73</f>
        <v>0</v>
      </c>
      <c r="Z73" s="118" t="s">
        <v>59</v>
      </c>
      <c r="AE73" s="25"/>
      <c r="AF73" s="93" t="s">
        <v>368</v>
      </c>
      <c r="AG73" s="145">
        <v>0</v>
      </c>
      <c r="AH73" s="94" t="s">
        <v>363</v>
      </c>
      <c r="AI73" s="141" t="s">
        <v>380</v>
      </c>
      <c r="AJ73" s="148">
        <v>0.11</v>
      </c>
      <c r="AK73" s="118" t="s">
        <v>59</v>
      </c>
      <c r="AL73" s="108"/>
      <c r="AN73" s="25"/>
      <c r="AO73" s="93" t="s">
        <v>368</v>
      </c>
      <c r="AP73" s="427"/>
      <c r="AQ73" s="94" t="s">
        <v>363</v>
      </c>
      <c r="AR73" s="141" t="s">
        <v>380</v>
      </c>
      <c r="AS73" s="430">
        <v>0.11</v>
      </c>
      <c r="AT73" s="118" t="s">
        <v>59</v>
      </c>
    </row>
    <row r="74" spans="2:46" x14ac:dyDescent="0.25">
      <c r="B74" s="25"/>
      <c r="C74" s="93" t="s">
        <v>369</v>
      </c>
      <c r="D74" s="644"/>
      <c r="E74" s="94" t="s">
        <v>363</v>
      </c>
      <c r="F74" s="27"/>
      <c r="G74" s="27"/>
      <c r="H74" s="73"/>
      <c r="K74" s="25"/>
      <c r="L74" s="93" t="s">
        <v>369</v>
      </c>
      <c r="M74" s="636"/>
      <c r="N74" s="94" t="s">
        <v>363</v>
      </c>
      <c r="O74" s="27"/>
      <c r="P74" s="27"/>
      <c r="Q74" s="73"/>
      <c r="T74" s="25"/>
      <c r="U74" s="93" t="s">
        <v>369</v>
      </c>
      <c r="V74" s="140">
        <f t="shared" si="1"/>
        <v>0</v>
      </c>
      <c r="W74" s="94" t="s">
        <v>363</v>
      </c>
      <c r="X74" s="27"/>
      <c r="Y74" s="27"/>
      <c r="Z74" s="73"/>
      <c r="AE74" s="25"/>
      <c r="AF74" s="93" t="s">
        <v>369</v>
      </c>
      <c r="AG74" s="145">
        <v>0</v>
      </c>
      <c r="AH74" s="94" t="s">
        <v>363</v>
      </c>
      <c r="AI74" s="27"/>
      <c r="AJ74" s="27"/>
      <c r="AK74" s="73"/>
      <c r="AL74" s="108"/>
      <c r="AN74" s="25"/>
      <c r="AO74" s="93" t="s">
        <v>369</v>
      </c>
      <c r="AP74" s="427"/>
      <c r="AQ74" s="94" t="s">
        <v>363</v>
      </c>
      <c r="AR74" s="27"/>
      <c r="AS74" s="27"/>
      <c r="AT74" s="73"/>
    </row>
    <row r="75" spans="2:46" x14ac:dyDescent="0.25">
      <c r="B75" s="25"/>
      <c r="C75" s="93" t="s">
        <v>370</v>
      </c>
      <c r="D75" s="644"/>
      <c r="E75" s="94" t="s">
        <v>363</v>
      </c>
      <c r="F75" s="27"/>
      <c r="G75" s="27"/>
      <c r="H75" s="73"/>
      <c r="K75" s="25"/>
      <c r="L75" s="93" t="s">
        <v>370</v>
      </c>
      <c r="M75" s="636"/>
      <c r="N75" s="94" t="s">
        <v>363</v>
      </c>
      <c r="O75" s="27"/>
      <c r="P75" s="27"/>
      <c r="Q75" s="73"/>
      <c r="T75" s="25"/>
      <c r="U75" s="93" t="s">
        <v>370</v>
      </c>
      <c r="V75" s="140">
        <f t="shared" si="1"/>
        <v>0</v>
      </c>
      <c r="W75" s="94" t="s">
        <v>363</v>
      </c>
      <c r="X75" s="27"/>
      <c r="Y75" s="27"/>
      <c r="Z75" s="73"/>
      <c r="AE75" s="25"/>
      <c r="AF75" s="93" t="s">
        <v>370</v>
      </c>
      <c r="AG75" s="145">
        <v>0</v>
      </c>
      <c r="AH75" s="94" t="s">
        <v>363</v>
      </c>
      <c r="AI75" s="27"/>
      <c r="AJ75" s="27"/>
      <c r="AK75" s="73"/>
      <c r="AL75" s="108"/>
      <c r="AN75" s="25"/>
      <c r="AO75" s="93" t="s">
        <v>370</v>
      </c>
      <c r="AP75" s="427"/>
      <c r="AQ75" s="94" t="s">
        <v>363</v>
      </c>
      <c r="AR75" s="27"/>
      <c r="AS75" s="27"/>
      <c r="AT75" s="73"/>
    </row>
    <row r="76" spans="2:46" x14ac:dyDescent="0.25">
      <c r="B76" s="25"/>
      <c r="C76" s="93" t="s">
        <v>371</v>
      </c>
      <c r="D76" s="644"/>
      <c r="E76" s="94" t="s">
        <v>363</v>
      </c>
      <c r="F76" s="27"/>
      <c r="G76" s="27"/>
      <c r="H76" s="73"/>
      <c r="K76" s="25"/>
      <c r="L76" s="93" t="s">
        <v>371</v>
      </c>
      <c r="M76" s="636"/>
      <c r="N76" s="94" t="s">
        <v>363</v>
      </c>
      <c r="O76" s="27"/>
      <c r="P76" s="27"/>
      <c r="Q76" s="73"/>
      <c r="T76" s="25"/>
      <c r="U76" s="93" t="s">
        <v>371</v>
      </c>
      <c r="V76" s="140">
        <f t="shared" si="1"/>
        <v>0</v>
      </c>
      <c r="W76" s="94" t="s">
        <v>363</v>
      </c>
      <c r="X76" s="27"/>
      <c r="Y76" s="27"/>
      <c r="Z76" s="73"/>
      <c r="AE76" s="25"/>
      <c r="AF76" s="93" t="s">
        <v>371</v>
      </c>
      <c r="AG76" s="145">
        <v>0</v>
      </c>
      <c r="AH76" s="94" t="s">
        <v>363</v>
      </c>
      <c r="AI76" s="27"/>
      <c r="AJ76" s="27"/>
      <c r="AK76" s="73"/>
      <c r="AL76" s="108"/>
      <c r="AN76" s="25"/>
      <c r="AO76" s="93" t="s">
        <v>371</v>
      </c>
      <c r="AP76" s="427"/>
      <c r="AQ76" s="94" t="s">
        <v>363</v>
      </c>
      <c r="AR76" s="27"/>
      <c r="AS76" s="27"/>
      <c r="AT76" s="73"/>
    </row>
    <row r="77" spans="2:46" x14ac:dyDescent="0.25">
      <c r="B77" s="25"/>
      <c r="C77" s="93" t="s">
        <v>467</v>
      </c>
      <c r="D77" s="644"/>
      <c r="E77" s="94" t="s">
        <v>363</v>
      </c>
      <c r="F77" s="27"/>
      <c r="G77" s="27"/>
      <c r="H77" s="73"/>
      <c r="K77" s="25"/>
      <c r="L77" s="93" t="s">
        <v>467</v>
      </c>
      <c r="M77" s="636"/>
      <c r="N77" s="94" t="s">
        <v>363</v>
      </c>
      <c r="O77" s="27"/>
      <c r="P77" s="27"/>
      <c r="Q77" s="73"/>
      <c r="T77" s="25"/>
      <c r="U77" s="93" t="s">
        <v>467</v>
      </c>
      <c r="V77" s="140">
        <f t="shared" si="1"/>
        <v>0</v>
      </c>
      <c r="W77" s="94" t="s">
        <v>363</v>
      </c>
      <c r="X77" s="27"/>
      <c r="Y77" s="27"/>
      <c r="Z77" s="73"/>
      <c r="AE77" s="25"/>
      <c r="AF77" s="93" t="s">
        <v>467</v>
      </c>
      <c r="AG77" s="145">
        <v>0</v>
      </c>
      <c r="AH77" s="94" t="s">
        <v>363</v>
      </c>
      <c r="AI77" s="27"/>
      <c r="AJ77" s="27"/>
      <c r="AK77" s="73"/>
      <c r="AL77" s="108"/>
      <c r="AN77" s="25"/>
      <c r="AO77" s="93" t="s">
        <v>467</v>
      </c>
      <c r="AP77" s="427"/>
      <c r="AQ77" s="94" t="s">
        <v>363</v>
      </c>
      <c r="AR77" s="27"/>
      <c r="AS77" s="27"/>
      <c r="AT77" s="73"/>
    </row>
    <row r="78" spans="2:46" x14ac:dyDescent="0.25">
      <c r="B78" s="25"/>
      <c r="C78" s="93" t="s">
        <v>46</v>
      </c>
      <c r="D78" s="644"/>
      <c r="E78" s="94" t="s">
        <v>363</v>
      </c>
      <c r="F78" s="27"/>
      <c r="G78" s="27"/>
      <c r="H78" s="73"/>
      <c r="K78" s="25"/>
      <c r="L78" s="93" t="s">
        <v>46</v>
      </c>
      <c r="M78" s="636"/>
      <c r="N78" s="94" t="s">
        <v>363</v>
      </c>
      <c r="O78" s="27"/>
      <c r="P78" s="27"/>
      <c r="Q78" s="73"/>
      <c r="T78" s="25"/>
      <c r="U78" s="93" t="s">
        <v>46</v>
      </c>
      <c r="V78" s="140">
        <f t="shared" si="1"/>
        <v>0</v>
      </c>
      <c r="W78" s="94" t="s">
        <v>363</v>
      </c>
      <c r="X78" s="27"/>
      <c r="Y78" s="27"/>
      <c r="Z78" s="73"/>
      <c r="AE78" s="25"/>
      <c r="AF78" s="93" t="s">
        <v>46</v>
      </c>
      <c r="AG78" s="145">
        <v>0</v>
      </c>
      <c r="AH78" s="94" t="s">
        <v>363</v>
      </c>
      <c r="AI78" s="27"/>
      <c r="AJ78" s="27"/>
      <c r="AK78" s="73"/>
      <c r="AL78" s="108"/>
      <c r="AN78" s="25"/>
      <c r="AO78" s="93" t="s">
        <v>46</v>
      </c>
      <c r="AP78" s="427"/>
      <c r="AQ78" s="94" t="s">
        <v>363</v>
      </c>
      <c r="AR78" s="27"/>
      <c r="AS78" s="27"/>
      <c r="AT78" s="73"/>
    </row>
    <row r="79" spans="2:46" x14ac:dyDescent="0.25">
      <c r="B79" s="25"/>
      <c r="C79" s="93" t="s">
        <v>468</v>
      </c>
      <c r="D79" s="644"/>
      <c r="E79" s="94" t="s">
        <v>378</v>
      </c>
      <c r="F79" s="27"/>
      <c r="G79" s="27"/>
      <c r="H79" s="73"/>
      <c r="K79" s="25"/>
      <c r="L79" s="93" t="s">
        <v>468</v>
      </c>
      <c r="M79" s="636"/>
      <c r="N79" s="94" t="s">
        <v>378</v>
      </c>
      <c r="O79" s="27"/>
      <c r="P79" s="27"/>
      <c r="Q79" s="73"/>
      <c r="T79" s="25"/>
      <c r="U79" s="93" t="s">
        <v>468</v>
      </c>
      <c r="V79" s="140">
        <f t="shared" si="1"/>
        <v>0</v>
      </c>
      <c r="W79" s="94" t="s">
        <v>378</v>
      </c>
      <c r="X79" s="27"/>
      <c r="Y79" s="39"/>
      <c r="Z79" s="73"/>
      <c r="AE79" s="25"/>
      <c r="AF79" s="93" t="s">
        <v>468</v>
      </c>
      <c r="AG79" s="145">
        <v>0</v>
      </c>
      <c r="AH79" s="94" t="s">
        <v>378</v>
      </c>
      <c r="AI79" s="27"/>
      <c r="AJ79" s="39"/>
      <c r="AK79" s="73"/>
      <c r="AL79" s="108"/>
      <c r="AN79" s="25"/>
      <c r="AO79" s="93" t="s">
        <v>468</v>
      </c>
      <c r="AP79" s="427"/>
      <c r="AQ79" s="94" t="s">
        <v>378</v>
      </c>
      <c r="AR79" s="27"/>
      <c r="AS79" s="39"/>
      <c r="AT79" s="73"/>
    </row>
    <row r="80" spans="2:46" x14ac:dyDescent="0.25">
      <c r="B80" s="25"/>
      <c r="C80" s="93" t="s">
        <v>469</v>
      </c>
      <c r="D80" s="644"/>
      <c r="E80" s="94" t="s">
        <v>378</v>
      </c>
      <c r="F80" s="27"/>
      <c r="G80" s="27"/>
      <c r="H80" s="73"/>
      <c r="K80" s="25"/>
      <c r="L80" s="93" t="s">
        <v>469</v>
      </c>
      <c r="M80" s="636"/>
      <c r="N80" s="94" t="s">
        <v>378</v>
      </c>
      <c r="O80" s="27"/>
      <c r="P80" s="27"/>
      <c r="Q80" s="73"/>
      <c r="T80" s="25"/>
      <c r="U80" s="93" t="s">
        <v>469</v>
      </c>
      <c r="V80" s="140">
        <f t="shared" si="1"/>
        <v>0</v>
      </c>
      <c r="W80" s="94" t="s">
        <v>378</v>
      </c>
      <c r="X80" s="27"/>
      <c r="Y80" s="39"/>
      <c r="Z80" s="73"/>
      <c r="AE80" s="25"/>
      <c r="AF80" s="93" t="s">
        <v>469</v>
      </c>
      <c r="AG80" s="145">
        <v>0</v>
      </c>
      <c r="AH80" s="94" t="s">
        <v>378</v>
      </c>
      <c r="AI80" s="27"/>
      <c r="AJ80" s="39"/>
      <c r="AK80" s="73"/>
      <c r="AL80" s="108"/>
      <c r="AN80" s="25"/>
      <c r="AO80" s="93" t="s">
        <v>469</v>
      </c>
      <c r="AP80" s="427"/>
      <c r="AQ80" s="94" t="s">
        <v>378</v>
      </c>
      <c r="AR80" s="27"/>
      <c r="AS80" s="39"/>
      <c r="AT80" s="73"/>
    </row>
    <row r="81" spans="1:46" x14ac:dyDescent="0.25">
      <c r="B81" s="25"/>
      <c r="C81" s="93" t="s">
        <v>376</v>
      </c>
      <c r="D81" s="644"/>
      <c r="E81" s="94" t="s">
        <v>377</v>
      </c>
      <c r="F81" s="27"/>
      <c r="G81" s="27"/>
      <c r="H81" s="73"/>
      <c r="K81" s="25"/>
      <c r="L81" s="93" t="s">
        <v>376</v>
      </c>
      <c r="M81" s="636"/>
      <c r="N81" s="94" t="s">
        <v>377</v>
      </c>
      <c r="O81" s="27"/>
      <c r="P81" s="27"/>
      <c r="Q81" s="73"/>
      <c r="T81" s="25"/>
      <c r="U81" s="93" t="s">
        <v>376</v>
      </c>
      <c r="V81" s="140">
        <f t="shared" si="1"/>
        <v>0</v>
      </c>
      <c r="W81" s="94" t="s">
        <v>377</v>
      </c>
      <c r="X81" s="27"/>
      <c r="Y81" s="39"/>
      <c r="Z81" s="73"/>
      <c r="AE81" s="25"/>
      <c r="AF81" s="93" t="s">
        <v>376</v>
      </c>
      <c r="AG81" s="145">
        <v>0</v>
      </c>
      <c r="AH81" s="94" t="s">
        <v>377</v>
      </c>
      <c r="AI81" s="27"/>
      <c r="AJ81" s="39"/>
      <c r="AK81" s="73"/>
      <c r="AL81" s="108"/>
      <c r="AN81" s="25"/>
      <c r="AO81" s="93" t="s">
        <v>376</v>
      </c>
      <c r="AP81" s="427"/>
      <c r="AQ81" s="94" t="s">
        <v>377</v>
      </c>
      <c r="AR81" s="27"/>
      <c r="AS81" s="39"/>
      <c r="AT81" s="73"/>
    </row>
    <row r="82" spans="1:46" x14ac:dyDescent="0.25">
      <c r="B82" s="25"/>
      <c r="C82" s="93" t="s">
        <v>375</v>
      </c>
      <c r="D82" s="644"/>
      <c r="E82" s="94" t="s">
        <v>377</v>
      </c>
      <c r="F82" s="27"/>
      <c r="G82" s="27"/>
      <c r="H82" s="73"/>
      <c r="K82" s="25"/>
      <c r="L82" s="93" t="s">
        <v>375</v>
      </c>
      <c r="M82" s="636"/>
      <c r="N82" s="94" t="s">
        <v>377</v>
      </c>
      <c r="O82" s="27"/>
      <c r="P82" s="27"/>
      <c r="Q82" s="73"/>
      <c r="T82" s="25"/>
      <c r="U82" s="93" t="s">
        <v>375</v>
      </c>
      <c r="V82" s="140">
        <f t="shared" si="1"/>
        <v>0</v>
      </c>
      <c r="W82" s="94" t="s">
        <v>377</v>
      </c>
      <c r="X82" s="27"/>
      <c r="Y82" s="39"/>
      <c r="Z82" s="73"/>
      <c r="AE82" s="25"/>
      <c r="AF82" s="93" t="s">
        <v>375</v>
      </c>
      <c r="AG82" s="145">
        <v>0</v>
      </c>
      <c r="AH82" s="94" t="s">
        <v>377</v>
      </c>
      <c r="AI82" s="27"/>
      <c r="AJ82" s="39"/>
      <c r="AK82" s="73"/>
      <c r="AL82" s="108"/>
      <c r="AN82" s="25"/>
      <c r="AO82" s="93" t="s">
        <v>375</v>
      </c>
      <c r="AP82" s="427"/>
      <c r="AQ82" s="94" t="s">
        <v>377</v>
      </c>
      <c r="AR82" s="27"/>
      <c r="AS82" s="39"/>
      <c r="AT82" s="73"/>
    </row>
    <row r="83" spans="1:46" x14ac:dyDescent="0.25">
      <c r="B83" s="25"/>
      <c r="C83" s="93" t="s">
        <v>372</v>
      </c>
      <c r="D83" s="644"/>
      <c r="E83" s="94" t="s">
        <v>377</v>
      </c>
      <c r="F83" s="27"/>
      <c r="G83" s="39"/>
      <c r="H83" s="73"/>
      <c r="K83" s="25"/>
      <c r="L83" s="93" t="s">
        <v>372</v>
      </c>
      <c r="M83" s="636"/>
      <c r="N83" s="94" t="s">
        <v>377</v>
      </c>
      <c r="O83" s="27"/>
      <c r="P83" s="39"/>
      <c r="Q83" s="73"/>
      <c r="T83" s="25"/>
      <c r="U83" s="93" t="s">
        <v>372</v>
      </c>
      <c r="V83" s="140">
        <f t="shared" si="1"/>
        <v>0</v>
      </c>
      <c r="W83" s="94" t="s">
        <v>377</v>
      </c>
      <c r="X83" s="27"/>
      <c r="Y83" s="39"/>
      <c r="Z83" s="73"/>
      <c r="AE83" s="25"/>
      <c r="AF83" s="93" t="s">
        <v>372</v>
      </c>
      <c r="AG83" s="145">
        <v>0</v>
      </c>
      <c r="AH83" s="94" t="s">
        <v>377</v>
      </c>
      <c r="AI83" s="27"/>
      <c r="AJ83" s="39"/>
      <c r="AK83" s="73"/>
      <c r="AL83" s="108"/>
      <c r="AN83" s="25"/>
      <c r="AO83" s="93" t="s">
        <v>372</v>
      </c>
      <c r="AP83" s="427"/>
      <c r="AQ83" s="94" t="s">
        <v>377</v>
      </c>
      <c r="AR83" s="27"/>
      <c r="AS83" s="39"/>
      <c r="AT83" s="73"/>
    </row>
    <row r="84" spans="1:46" x14ac:dyDescent="0.25">
      <c r="B84" s="25"/>
      <c r="C84" s="93" t="s">
        <v>373</v>
      </c>
      <c r="D84" s="644"/>
      <c r="E84" s="94" t="s">
        <v>377</v>
      </c>
      <c r="F84" s="27"/>
      <c r="G84" s="39"/>
      <c r="H84" s="73"/>
      <c r="K84" s="25"/>
      <c r="L84" s="93" t="s">
        <v>373</v>
      </c>
      <c r="M84" s="636"/>
      <c r="N84" s="94" t="s">
        <v>377</v>
      </c>
      <c r="O84" s="27"/>
      <c r="P84" s="39"/>
      <c r="Q84" s="73"/>
      <c r="T84" s="25"/>
      <c r="U84" s="93" t="s">
        <v>373</v>
      </c>
      <c r="V84" s="140">
        <f t="shared" si="1"/>
        <v>0</v>
      </c>
      <c r="W84" s="94" t="s">
        <v>377</v>
      </c>
      <c r="X84" s="27"/>
      <c r="Y84" s="39"/>
      <c r="Z84" s="73"/>
      <c r="AE84" s="25"/>
      <c r="AF84" s="93" t="s">
        <v>373</v>
      </c>
      <c r="AG84" s="145">
        <v>0</v>
      </c>
      <c r="AH84" s="94" t="s">
        <v>377</v>
      </c>
      <c r="AI84" s="27"/>
      <c r="AJ84" s="39"/>
      <c r="AK84" s="73"/>
      <c r="AL84" s="108"/>
      <c r="AN84" s="25"/>
      <c r="AO84" s="93" t="s">
        <v>373</v>
      </c>
      <c r="AP84" s="427"/>
      <c r="AQ84" s="94" t="s">
        <v>377</v>
      </c>
      <c r="AR84" s="27"/>
      <c r="AS84" s="39"/>
      <c r="AT84" s="73"/>
    </row>
    <row r="85" spans="1:46" x14ac:dyDescent="0.25">
      <c r="B85" s="25"/>
      <c r="C85" s="93" t="s">
        <v>374</v>
      </c>
      <c r="D85" s="644"/>
      <c r="E85" s="94" t="s">
        <v>377</v>
      </c>
      <c r="F85" s="27"/>
      <c r="G85" s="39"/>
      <c r="H85" s="73"/>
      <c r="K85" s="25"/>
      <c r="L85" s="93" t="s">
        <v>374</v>
      </c>
      <c r="M85" s="636"/>
      <c r="N85" s="94" t="s">
        <v>377</v>
      </c>
      <c r="O85" s="27"/>
      <c r="P85" s="39"/>
      <c r="Q85" s="73"/>
      <c r="T85" s="25"/>
      <c r="U85" s="93" t="s">
        <v>374</v>
      </c>
      <c r="V85" s="140">
        <f t="shared" si="1"/>
        <v>0</v>
      </c>
      <c r="W85" s="94" t="s">
        <v>377</v>
      </c>
      <c r="X85" s="27"/>
      <c r="Y85" s="39"/>
      <c r="Z85" s="73"/>
      <c r="AE85" s="25"/>
      <c r="AF85" s="93" t="s">
        <v>374</v>
      </c>
      <c r="AG85" s="145">
        <v>0</v>
      </c>
      <c r="AH85" s="94" t="s">
        <v>377</v>
      </c>
      <c r="AI85" s="27"/>
      <c r="AJ85" s="39"/>
      <c r="AK85" s="73"/>
      <c r="AL85" s="108"/>
      <c r="AN85" s="25"/>
      <c r="AO85" s="93" t="s">
        <v>374</v>
      </c>
      <c r="AP85" s="427"/>
      <c r="AQ85" s="94" t="s">
        <v>377</v>
      </c>
      <c r="AR85" s="27"/>
      <c r="AS85" s="39"/>
      <c r="AT85" s="73"/>
    </row>
    <row r="86" spans="1:46" ht="6" customHeight="1" x14ac:dyDescent="0.25">
      <c r="B86" s="25"/>
      <c r="C86" s="25"/>
      <c r="D86" s="25"/>
      <c r="E86" s="25"/>
      <c r="F86" s="25"/>
      <c r="G86" s="25"/>
      <c r="H86" s="25"/>
      <c r="K86" s="25"/>
      <c r="L86" s="25"/>
      <c r="M86" s="25"/>
      <c r="N86" s="25"/>
      <c r="O86" s="25"/>
      <c r="P86" s="25"/>
      <c r="Q86" s="25"/>
      <c r="T86" s="25"/>
      <c r="U86" s="25"/>
      <c r="V86" s="25"/>
      <c r="W86" s="25"/>
      <c r="X86" s="25"/>
      <c r="Y86" s="25"/>
      <c r="Z86" s="25"/>
      <c r="AE86" s="25"/>
      <c r="AF86" s="25"/>
      <c r="AG86" s="25"/>
      <c r="AH86" s="25"/>
      <c r="AI86" s="25"/>
      <c r="AJ86" s="25"/>
      <c r="AK86" s="25"/>
      <c r="AL86" s="108"/>
      <c r="AN86" s="25"/>
      <c r="AO86" s="25"/>
      <c r="AP86" s="25"/>
      <c r="AQ86" s="25"/>
      <c r="AR86" s="25"/>
      <c r="AS86" s="25"/>
      <c r="AT86" s="25"/>
    </row>
    <row r="87" spans="1:46" x14ac:dyDescent="0.25">
      <c r="B87" s="124"/>
      <c r="C87" s="124"/>
      <c r="D87" s="125"/>
      <c r="E87" s="124"/>
      <c r="F87" s="124"/>
      <c r="K87" s="124"/>
      <c r="L87" s="124"/>
      <c r="M87" s="125"/>
      <c r="N87" s="124"/>
      <c r="O87" s="124"/>
      <c r="T87" s="126"/>
      <c r="U87" s="126"/>
      <c r="V87" s="105"/>
      <c r="W87" s="126"/>
      <c r="X87" s="126"/>
      <c r="Y87" s="108"/>
      <c r="AE87" s="108"/>
      <c r="AF87" s="108"/>
      <c r="AG87" s="108"/>
      <c r="AH87" s="108"/>
      <c r="AI87" s="108"/>
      <c r="AJ87" s="108"/>
      <c r="AK87" s="108"/>
      <c r="AL87" s="108"/>
      <c r="AN87" s="108"/>
      <c r="AO87" s="108"/>
      <c r="AP87" s="108"/>
      <c r="AQ87" s="108"/>
      <c r="AR87" s="108"/>
      <c r="AS87" s="108"/>
      <c r="AT87" s="108"/>
    </row>
    <row r="88" spans="1:46" s="42" customFormat="1" ht="18.75" x14ac:dyDescent="0.25">
      <c r="A88" s="108"/>
      <c r="B88" s="732" t="s">
        <v>975</v>
      </c>
      <c r="C88" s="732"/>
      <c r="D88" s="732"/>
      <c r="E88" s="732"/>
      <c r="F88" s="732"/>
      <c r="G88" s="732"/>
      <c r="H88" s="732"/>
      <c r="I88" s="85"/>
      <c r="J88" s="85"/>
      <c r="AE88" s="563"/>
      <c r="AF88" s="563"/>
      <c r="AG88" s="563"/>
      <c r="AH88" s="563"/>
      <c r="AI88" s="563"/>
      <c r="AJ88" s="563"/>
      <c r="AK88" s="563"/>
      <c r="AN88" s="108"/>
      <c r="AO88" s="108"/>
      <c r="AP88" s="108"/>
      <c r="AQ88" s="108"/>
      <c r="AR88" s="108"/>
      <c r="AS88" s="108"/>
      <c r="AT88" s="108"/>
    </row>
    <row r="89" spans="1:46" s="42" customFormat="1" ht="18.75" x14ac:dyDescent="0.25">
      <c r="A89" s="108"/>
      <c r="B89" s="725" t="s">
        <v>276</v>
      </c>
      <c r="C89" s="725"/>
      <c r="D89" s="725"/>
      <c r="E89" s="725"/>
      <c r="F89" s="725"/>
      <c r="G89" s="725"/>
      <c r="H89" s="725"/>
      <c r="I89" s="85"/>
      <c r="J89" s="85"/>
      <c r="AE89" s="561"/>
      <c r="AF89" s="561"/>
      <c r="AG89" s="561"/>
      <c r="AH89" s="561"/>
      <c r="AI89" s="561"/>
      <c r="AJ89" s="561"/>
      <c r="AK89" s="561"/>
      <c r="AN89" s="108"/>
      <c r="AO89" s="108"/>
      <c r="AP89" s="108"/>
      <c r="AQ89" s="108"/>
      <c r="AR89" s="108"/>
      <c r="AS89" s="108"/>
      <c r="AT89" s="108"/>
    </row>
    <row r="90" spans="1:46" s="42" customFormat="1" ht="15.75" hidden="1" x14ac:dyDescent="0.25">
      <c r="A90" s="108"/>
      <c r="B90" s="24"/>
      <c r="C90" s="91" t="s">
        <v>348</v>
      </c>
      <c r="D90" s="629" t="s">
        <v>127</v>
      </c>
      <c r="E90" s="27"/>
      <c r="F90" s="27"/>
      <c r="G90" s="27"/>
      <c r="H90" s="73"/>
      <c r="I90" s="85"/>
      <c r="J90" s="85"/>
      <c r="W90"/>
      <c r="X90"/>
      <c r="AE90" s="130"/>
      <c r="AF90" s="130"/>
      <c r="AG90" s="130"/>
      <c r="AH90" s="130"/>
      <c r="AI90" s="130"/>
      <c r="AJ90" s="130"/>
      <c r="AK90" s="130"/>
      <c r="AN90" s="108"/>
      <c r="AO90" s="108"/>
      <c r="AP90" s="108"/>
      <c r="AQ90" s="108"/>
      <c r="AR90" s="108"/>
      <c r="AS90" s="108"/>
      <c r="AT90" s="108"/>
    </row>
    <row r="91" spans="1:46" s="42" customFormat="1" ht="15.75" x14ac:dyDescent="0.25">
      <c r="A91" s="108"/>
      <c r="B91" s="24"/>
      <c r="C91" s="91" t="s">
        <v>355</v>
      </c>
      <c r="D91" s="644"/>
      <c r="E91" s="92" t="s">
        <v>36</v>
      </c>
      <c r="F91" s="379"/>
      <c r="G91" s="89"/>
      <c r="H91" s="73"/>
      <c r="I91" s="85"/>
      <c r="J91" s="85"/>
      <c r="V91" s="130"/>
      <c r="W91"/>
      <c r="X91"/>
      <c r="Y91" s="358"/>
      <c r="Z91" s="358"/>
      <c r="AA91" s="358"/>
      <c r="AE91" s="130"/>
      <c r="AF91" s="130"/>
      <c r="AG91" s="130"/>
      <c r="AH91" s="130"/>
      <c r="AI91" s="130"/>
      <c r="AJ91" s="130"/>
      <c r="AK91" s="130"/>
      <c r="AN91" s="108"/>
      <c r="AO91" s="108"/>
      <c r="AP91" s="108"/>
      <c r="AQ91" s="108"/>
      <c r="AR91" s="108"/>
      <c r="AS91" s="108"/>
      <c r="AT91" s="108"/>
    </row>
    <row r="92" spans="1:46" s="42" customFormat="1" ht="6" customHeight="1" x14ac:dyDescent="0.25">
      <c r="A92" s="108"/>
      <c r="B92" s="36"/>
      <c r="C92" s="41"/>
      <c r="D92" s="85"/>
      <c r="E92" s="36"/>
      <c r="F92" s="63"/>
      <c r="G92" s="37"/>
      <c r="H92" s="41"/>
      <c r="I92" s="85"/>
      <c r="J92" s="85"/>
      <c r="V92" s="130"/>
      <c r="W92"/>
      <c r="X92"/>
      <c r="Y92" s="358"/>
      <c r="Z92" s="358"/>
      <c r="AA92" s="358"/>
      <c r="AE92" s="130"/>
      <c r="AF92" s="130"/>
      <c r="AG92" s="130"/>
      <c r="AH92" s="130"/>
      <c r="AI92" s="130"/>
      <c r="AJ92" s="130"/>
      <c r="AK92" s="130"/>
      <c r="AN92" s="108"/>
      <c r="AO92" s="108"/>
      <c r="AP92" s="108"/>
      <c r="AQ92" s="108"/>
      <c r="AR92" s="108"/>
      <c r="AS92" s="108"/>
      <c r="AT92" s="108"/>
    </row>
    <row r="93" spans="1:46" s="42" customFormat="1" ht="15.75" x14ac:dyDescent="0.25">
      <c r="A93" s="108"/>
      <c r="B93" s="24"/>
      <c r="C93" s="91" t="s">
        <v>604</v>
      </c>
      <c r="D93" s="644"/>
      <c r="E93" s="92" t="s">
        <v>603</v>
      </c>
      <c r="F93" s="311" t="s">
        <v>134</v>
      </c>
      <c r="G93" s="670"/>
      <c r="H93" s="89"/>
      <c r="I93" s="85"/>
      <c r="J93" s="85"/>
      <c r="W93"/>
      <c r="X93"/>
      <c r="AE93" s="130"/>
      <c r="AF93" s="130"/>
      <c r="AG93" s="130"/>
      <c r="AH93" s="130"/>
      <c r="AI93" s="130"/>
      <c r="AJ93" s="130"/>
      <c r="AK93" s="130"/>
      <c r="AN93" s="108"/>
      <c r="AO93" s="108"/>
      <c r="AP93" s="108"/>
      <c r="AQ93" s="108"/>
      <c r="AR93" s="108"/>
      <c r="AS93" s="108"/>
      <c r="AT93" s="108"/>
    </row>
    <row r="94" spans="1:46" s="42" customFormat="1" ht="30" customHeight="1" x14ac:dyDescent="0.25">
      <c r="A94" s="108"/>
      <c r="B94" s="742" t="s">
        <v>996</v>
      </c>
      <c r="C94" s="743"/>
      <c r="D94" s="644"/>
      <c r="E94" s="685" t="s">
        <v>603</v>
      </c>
      <c r="F94" s="686"/>
      <c r="G94" s="687"/>
      <c r="H94" s="688"/>
      <c r="I94" s="85"/>
      <c r="J94" s="85"/>
      <c r="W94"/>
      <c r="X94"/>
      <c r="AE94" s="130"/>
      <c r="AF94" s="130"/>
      <c r="AG94" s="130"/>
      <c r="AH94" s="130"/>
      <c r="AI94" s="130"/>
      <c r="AJ94" s="130"/>
      <c r="AK94" s="130"/>
      <c r="AN94" s="108"/>
      <c r="AO94" s="108"/>
      <c r="AP94" s="108"/>
      <c r="AQ94" s="108"/>
      <c r="AR94" s="108"/>
      <c r="AS94" s="108"/>
      <c r="AT94" s="108"/>
    </row>
    <row r="95" spans="1:46" s="42" customFormat="1" ht="15.75" x14ac:dyDescent="0.25">
      <c r="A95" s="108"/>
      <c r="B95" s="24"/>
      <c r="C95" s="91" t="s">
        <v>429</v>
      </c>
      <c r="D95" s="644"/>
      <c r="E95" s="92" t="s">
        <v>354</v>
      </c>
      <c r="F95" s="379"/>
      <c r="G95" s="89"/>
      <c r="H95" s="354"/>
      <c r="I95" s="85"/>
      <c r="J95" s="85"/>
      <c r="W95"/>
      <c r="X95"/>
      <c r="AE95" s="130"/>
      <c r="AF95" s="130"/>
      <c r="AG95" s="130"/>
      <c r="AH95" s="130"/>
      <c r="AI95" s="130"/>
      <c r="AJ95" s="130"/>
      <c r="AK95" s="130"/>
      <c r="AN95" s="108"/>
      <c r="AO95" s="108"/>
      <c r="AP95" s="108"/>
      <c r="AQ95" s="108"/>
      <c r="AR95" s="108"/>
      <c r="AS95" s="108"/>
      <c r="AT95" s="108"/>
    </row>
    <row r="96" spans="1:46" s="42" customFormat="1" ht="6" customHeight="1" x14ac:dyDescent="0.25">
      <c r="A96" s="108"/>
      <c r="B96" s="96"/>
      <c r="C96" s="96"/>
      <c r="D96" s="96"/>
      <c r="E96" s="96"/>
      <c r="F96" s="96"/>
      <c r="G96" s="96"/>
      <c r="H96" s="96"/>
      <c r="I96" s="85"/>
      <c r="J96" s="85"/>
      <c r="AE96" s="130"/>
      <c r="AF96" s="130"/>
      <c r="AG96" s="130"/>
      <c r="AH96" s="130"/>
      <c r="AI96" s="130"/>
      <c r="AJ96" s="130"/>
      <c r="AK96" s="130"/>
      <c r="AN96" s="108"/>
      <c r="AO96" s="108"/>
      <c r="AP96" s="108"/>
      <c r="AQ96" s="108"/>
      <c r="AR96" s="108"/>
      <c r="AS96" s="108"/>
      <c r="AT96" s="108"/>
    </row>
    <row r="97" spans="1:46" s="42" customFormat="1" ht="15.75" x14ac:dyDescent="0.25">
      <c r="A97" s="108"/>
      <c r="B97" s="723" t="s">
        <v>338</v>
      </c>
      <c r="C97" s="723"/>
      <c r="D97" s="723"/>
      <c r="E97" s="723"/>
      <c r="F97" s="723"/>
      <c r="G97" s="723"/>
      <c r="H97" s="723"/>
      <c r="I97" s="85"/>
      <c r="J97" s="85"/>
      <c r="AE97" s="562"/>
      <c r="AF97" s="562"/>
      <c r="AG97" s="562"/>
      <c r="AH97" s="562"/>
      <c r="AI97" s="562"/>
      <c r="AJ97" s="562"/>
      <c r="AK97" s="562"/>
      <c r="AN97" s="108"/>
      <c r="AO97" s="108"/>
      <c r="AP97" s="108"/>
      <c r="AQ97" s="108"/>
      <c r="AR97" s="108"/>
      <c r="AS97" s="108"/>
      <c r="AT97" s="108"/>
    </row>
    <row r="98" spans="1:46" s="42" customFormat="1" x14ac:dyDescent="0.25">
      <c r="A98" s="108"/>
      <c r="B98" s="97"/>
      <c r="C98" s="93" t="s">
        <v>164</v>
      </c>
      <c r="D98" s="644"/>
      <c r="E98" s="92" t="s">
        <v>605</v>
      </c>
      <c r="F98" s="379"/>
      <c r="G98" s="89"/>
      <c r="H98" s="73"/>
      <c r="I98" s="85"/>
      <c r="J98" s="85"/>
      <c r="AE98" s="553"/>
      <c r="AF98" s="554"/>
      <c r="AG98" s="566"/>
      <c r="AH98" s="556"/>
      <c r="AI98" s="564"/>
      <c r="AJ98" s="565"/>
      <c r="AK98" s="108"/>
      <c r="AN98" s="108"/>
      <c r="AO98" s="108"/>
      <c r="AP98" s="108"/>
      <c r="AQ98" s="108"/>
      <c r="AR98" s="108"/>
      <c r="AS98" s="108"/>
      <c r="AT98" s="108"/>
    </row>
    <row r="99" spans="1:46" s="42" customFormat="1" x14ac:dyDescent="0.25">
      <c r="A99" s="108"/>
      <c r="B99" s="97"/>
      <c r="C99" s="93" t="s">
        <v>163</v>
      </c>
      <c r="D99" s="644"/>
      <c r="E99" s="92" t="s">
        <v>605</v>
      </c>
      <c r="F99" s="379"/>
      <c r="G99" s="89"/>
      <c r="H99" s="73"/>
      <c r="I99" s="85"/>
      <c r="J99" s="85"/>
      <c r="AE99" s="553"/>
      <c r="AF99" s="554"/>
      <c r="AG99" s="566"/>
      <c r="AH99" s="556"/>
      <c r="AI99" s="564"/>
      <c r="AJ99" s="565"/>
      <c r="AK99" s="108"/>
      <c r="AN99" s="108"/>
      <c r="AO99" s="108"/>
      <c r="AP99" s="108"/>
      <c r="AQ99" s="108"/>
      <c r="AR99" s="108"/>
      <c r="AS99" s="108"/>
      <c r="AT99" s="108"/>
    </row>
    <row r="100" spans="1:46" s="42" customFormat="1" x14ac:dyDescent="0.25">
      <c r="A100" s="108"/>
      <c r="B100" s="97"/>
      <c r="C100" s="93" t="s">
        <v>28</v>
      </c>
      <c r="D100" s="644"/>
      <c r="E100" s="92" t="s">
        <v>605</v>
      </c>
      <c r="F100" s="379"/>
      <c r="G100" s="89"/>
      <c r="H100" s="73"/>
      <c r="I100" s="85"/>
      <c r="J100" s="85"/>
      <c r="AE100" s="553"/>
      <c r="AF100" s="554"/>
      <c r="AG100" s="566"/>
      <c r="AH100" s="556"/>
      <c r="AI100" s="564"/>
      <c r="AJ100" s="565"/>
      <c r="AK100" s="108"/>
      <c r="AN100" s="108"/>
      <c r="AO100" s="108"/>
      <c r="AP100" s="108"/>
      <c r="AQ100" s="108"/>
      <c r="AR100" s="108"/>
      <c r="AS100" s="108"/>
      <c r="AT100" s="108"/>
    </row>
    <row r="101" spans="1:46" s="42" customFormat="1" ht="7.15" customHeight="1" x14ac:dyDescent="0.25">
      <c r="A101" s="108"/>
      <c r="B101" s="96"/>
      <c r="C101" s="96"/>
      <c r="D101" s="96"/>
      <c r="E101" s="96"/>
      <c r="F101" s="96"/>
      <c r="G101" s="96"/>
      <c r="H101" s="96"/>
      <c r="I101" s="85"/>
      <c r="J101" s="85"/>
      <c r="AE101" s="138"/>
      <c r="AF101" s="138"/>
      <c r="AG101" s="138"/>
      <c r="AH101" s="138"/>
      <c r="AI101" s="138"/>
      <c r="AJ101" s="138"/>
      <c r="AK101" s="138"/>
      <c r="AN101" s="108"/>
      <c r="AO101" s="108"/>
      <c r="AP101" s="108"/>
      <c r="AQ101" s="108"/>
      <c r="AR101" s="108"/>
      <c r="AS101" s="108"/>
      <c r="AT101" s="108"/>
    </row>
    <row r="102" spans="1:46" s="42" customFormat="1" ht="15.75" x14ac:dyDescent="0.25">
      <c r="A102" s="108"/>
      <c r="B102" s="723" t="s">
        <v>341</v>
      </c>
      <c r="C102" s="723"/>
      <c r="D102" s="723"/>
      <c r="E102" s="723"/>
      <c r="F102" s="723"/>
      <c r="G102" s="723"/>
      <c r="H102" s="723"/>
      <c r="I102" s="85"/>
      <c r="J102" s="85"/>
      <c r="AE102" s="562"/>
      <c r="AF102" s="562"/>
      <c r="AG102" s="562"/>
      <c r="AH102" s="562"/>
      <c r="AI102" s="562"/>
      <c r="AJ102" s="562"/>
      <c r="AK102" s="562"/>
      <c r="AN102" s="108"/>
      <c r="AO102" s="108"/>
      <c r="AP102" s="108"/>
      <c r="AQ102" s="108"/>
      <c r="AR102" s="108"/>
      <c r="AS102" s="108"/>
      <c r="AT102" s="108"/>
    </row>
    <row r="103" spans="1:46" s="42" customFormat="1" x14ac:dyDescent="0.25">
      <c r="A103" s="108"/>
      <c r="B103" s="93"/>
      <c r="C103" s="93" t="s">
        <v>341</v>
      </c>
      <c r="D103" s="644"/>
      <c r="E103" s="92" t="s">
        <v>605</v>
      </c>
      <c r="F103" s="27"/>
      <c r="G103" s="73"/>
      <c r="H103" s="73"/>
      <c r="I103" s="85"/>
      <c r="J103" s="85"/>
      <c r="AE103" s="554"/>
      <c r="AF103" s="554"/>
      <c r="AG103" s="567"/>
      <c r="AH103" s="556"/>
      <c r="AI103" s="126"/>
      <c r="AJ103" s="108"/>
      <c r="AK103" s="108"/>
      <c r="AN103" s="108"/>
      <c r="AO103" s="108"/>
      <c r="AP103" s="108"/>
      <c r="AQ103" s="108"/>
      <c r="AR103" s="108"/>
      <c r="AS103" s="108"/>
      <c r="AT103" s="108"/>
    </row>
    <row r="104" spans="1:46" s="42" customFormat="1" ht="7.15" customHeight="1" x14ac:dyDescent="0.25">
      <c r="A104" s="108"/>
      <c r="B104" s="96"/>
      <c r="C104" s="96"/>
      <c r="D104" s="96"/>
      <c r="E104" s="96"/>
      <c r="F104" s="96"/>
      <c r="G104" s="96"/>
      <c r="H104" s="96"/>
      <c r="I104" s="85"/>
      <c r="J104" s="85"/>
      <c r="AE104" s="138"/>
      <c r="AF104" s="138"/>
      <c r="AG104" s="138"/>
      <c r="AH104" s="138"/>
      <c r="AI104" s="138"/>
      <c r="AJ104" s="138"/>
      <c r="AK104" s="138"/>
      <c r="AN104" s="108"/>
      <c r="AO104" s="108"/>
      <c r="AP104" s="108"/>
      <c r="AQ104" s="108"/>
      <c r="AR104" s="108"/>
      <c r="AS104" s="108"/>
      <c r="AT104" s="108"/>
    </row>
    <row r="105" spans="1:46" s="42" customFormat="1" ht="15.75" x14ac:dyDescent="0.25">
      <c r="A105" s="108"/>
      <c r="B105" s="723" t="s">
        <v>339</v>
      </c>
      <c r="C105" s="723"/>
      <c r="D105" s="723"/>
      <c r="E105" s="723"/>
      <c r="F105" s="723"/>
      <c r="G105" s="723"/>
      <c r="H105" s="723"/>
      <c r="I105" s="85"/>
      <c r="J105" s="85"/>
      <c r="AE105" s="562"/>
      <c r="AF105" s="562"/>
      <c r="AG105" s="562"/>
      <c r="AH105" s="562"/>
      <c r="AI105" s="562"/>
      <c r="AJ105" s="562"/>
      <c r="AK105" s="562"/>
      <c r="AN105" s="108"/>
      <c r="AO105" s="108"/>
      <c r="AP105" s="108"/>
      <c r="AQ105" s="108"/>
      <c r="AR105" s="108"/>
      <c r="AS105" s="108"/>
      <c r="AT105" s="108"/>
    </row>
    <row r="106" spans="1:46" s="42" customFormat="1" outlineLevel="1" x14ac:dyDescent="0.25">
      <c r="A106" s="108"/>
      <c r="B106" s="176"/>
      <c r="C106" s="179" t="s">
        <v>153</v>
      </c>
      <c r="D106" s="644"/>
      <c r="E106" s="94" t="s">
        <v>606</v>
      </c>
      <c r="F106" s="356"/>
      <c r="G106" s="357"/>
      <c r="H106" s="357"/>
      <c r="I106" s="85"/>
      <c r="J106" s="85"/>
      <c r="AE106" s="4"/>
      <c r="AF106" s="555"/>
      <c r="AG106" s="568"/>
      <c r="AH106" s="556"/>
      <c r="AI106" s="557"/>
      <c r="AJ106" s="74"/>
      <c r="AK106" s="74"/>
      <c r="AN106" s="108"/>
      <c r="AO106" s="108"/>
      <c r="AP106" s="108"/>
      <c r="AQ106" s="108"/>
      <c r="AR106" s="108"/>
      <c r="AS106" s="108"/>
      <c r="AT106" s="108"/>
    </row>
    <row r="107" spans="1:46" s="42" customFormat="1" outlineLevel="1" x14ac:dyDescent="0.25">
      <c r="A107" s="108"/>
      <c r="B107" s="176"/>
      <c r="C107" s="179" t="s">
        <v>463</v>
      </c>
      <c r="D107" s="644"/>
      <c r="E107" s="94" t="s">
        <v>606</v>
      </c>
      <c r="F107" s="356"/>
      <c r="G107" s="357"/>
      <c r="H107" s="357"/>
      <c r="I107" s="85"/>
      <c r="J107" s="85"/>
      <c r="AE107" s="4"/>
      <c r="AF107" s="555"/>
      <c r="AG107" s="568"/>
      <c r="AH107" s="556"/>
      <c r="AI107" s="557"/>
      <c r="AJ107" s="74"/>
      <c r="AK107" s="74"/>
      <c r="AN107" s="108"/>
      <c r="AO107" s="108"/>
      <c r="AP107" s="108"/>
      <c r="AQ107" s="108"/>
      <c r="AR107" s="108"/>
      <c r="AS107" s="108"/>
      <c r="AT107" s="108"/>
    </row>
    <row r="108" spans="1:46" s="42" customFormat="1" outlineLevel="1" x14ac:dyDescent="0.25">
      <c r="A108" s="108"/>
      <c r="B108" s="176"/>
      <c r="C108" s="179" t="s">
        <v>463</v>
      </c>
      <c r="D108" s="644"/>
      <c r="E108" s="94" t="s">
        <v>607</v>
      </c>
      <c r="F108" s="356"/>
      <c r="G108" s="357"/>
      <c r="H108" s="357"/>
      <c r="I108" s="85"/>
      <c r="J108" s="85"/>
      <c r="AE108" s="4"/>
      <c r="AF108" s="555"/>
      <c r="AG108" s="568"/>
      <c r="AH108" s="556"/>
      <c r="AI108" s="557"/>
      <c r="AJ108" s="74"/>
      <c r="AK108" s="74"/>
      <c r="AN108" s="108"/>
      <c r="AO108" s="108"/>
      <c r="AP108" s="108"/>
      <c r="AQ108" s="108"/>
      <c r="AR108" s="108"/>
      <c r="AS108" s="108"/>
      <c r="AT108" s="108"/>
    </row>
    <row r="109" spans="1:46" s="42" customFormat="1" outlineLevel="1" x14ac:dyDescent="0.25">
      <c r="A109" s="108"/>
      <c r="B109" s="176"/>
      <c r="C109" s="179" t="s">
        <v>464</v>
      </c>
      <c r="D109" s="644"/>
      <c r="E109" s="94" t="s">
        <v>606</v>
      </c>
      <c r="F109" s="356"/>
      <c r="G109" s="357"/>
      <c r="H109" s="357"/>
      <c r="I109" s="85"/>
      <c r="J109" s="85"/>
      <c r="AE109" s="4"/>
      <c r="AF109" s="555"/>
      <c r="AG109" s="568"/>
      <c r="AH109" s="556"/>
      <c r="AI109" s="557"/>
      <c r="AJ109" s="74"/>
      <c r="AK109" s="74"/>
      <c r="AN109" s="108"/>
      <c r="AO109" s="108"/>
      <c r="AP109" s="108"/>
      <c r="AQ109" s="108"/>
      <c r="AR109" s="108"/>
      <c r="AS109" s="108"/>
      <c r="AT109" s="108"/>
    </row>
    <row r="110" spans="1:46" s="42" customFormat="1" outlineLevel="1" x14ac:dyDescent="0.25">
      <c r="A110" s="108"/>
      <c r="B110" s="176"/>
      <c r="C110" s="179" t="s">
        <v>464</v>
      </c>
      <c r="D110" s="644"/>
      <c r="E110" s="94" t="s">
        <v>607</v>
      </c>
      <c r="F110" s="356"/>
      <c r="G110" s="357"/>
      <c r="H110" s="357"/>
      <c r="I110" s="85"/>
      <c r="J110" s="85"/>
      <c r="AE110" s="4"/>
      <c r="AF110" s="555"/>
      <c r="AG110" s="568"/>
      <c r="AH110" s="556"/>
      <c r="AI110" s="557"/>
      <c r="AJ110" s="74"/>
      <c r="AK110" s="74"/>
      <c r="AN110" s="108"/>
      <c r="AO110" s="108"/>
      <c r="AP110" s="108"/>
      <c r="AQ110" s="108"/>
      <c r="AR110" s="108"/>
      <c r="AS110" s="108"/>
      <c r="AT110" s="108"/>
    </row>
    <row r="111" spans="1:46" s="42" customFormat="1" outlineLevel="1" x14ac:dyDescent="0.25">
      <c r="A111" s="108"/>
      <c r="B111" s="176"/>
      <c r="C111" s="179" t="s">
        <v>465</v>
      </c>
      <c r="D111" s="644"/>
      <c r="E111" s="94" t="s">
        <v>606</v>
      </c>
      <c r="F111" s="356"/>
      <c r="G111" s="357"/>
      <c r="H111" s="357"/>
      <c r="I111" s="85"/>
      <c r="J111" s="85"/>
      <c r="AE111" s="4"/>
      <c r="AF111" s="555"/>
      <c r="AG111" s="568"/>
      <c r="AH111" s="556"/>
      <c r="AI111" s="557"/>
      <c r="AJ111" s="74"/>
      <c r="AK111" s="74"/>
      <c r="AN111" s="108"/>
      <c r="AO111" s="108"/>
      <c r="AP111" s="108"/>
      <c r="AQ111" s="108"/>
      <c r="AR111" s="108"/>
      <c r="AS111" s="108"/>
      <c r="AT111" s="108"/>
    </row>
    <row r="112" spans="1:46" s="42" customFormat="1" outlineLevel="1" x14ac:dyDescent="0.25">
      <c r="A112" s="108"/>
      <c r="B112" s="176"/>
      <c r="C112" s="179" t="s">
        <v>457</v>
      </c>
      <c r="D112" s="644"/>
      <c r="E112" s="94" t="s">
        <v>606</v>
      </c>
      <c r="F112" s="356"/>
      <c r="G112" s="357"/>
      <c r="H112" s="357"/>
      <c r="I112" s="85"/>
      <c r="J112" s="85"/>
      <c r="AE112" s="4"/>
      <c r="AF112" s="555"/>
      <c r="AG112" s="568"/>
      <c r="AH112" s="556"/>
      <c r="AI112" s="557"/>
      <c r="AJ112" s="74"/>
      <c r="AK112" s="74"/>
      <c r="AN112" s="108"/>
      <c r="AO112" s="108"/>
      <c r="AP112" s="108"/>
      <c r="AQ112" s="108"/>
      <c r="AR112" s="108"/>
      <c r="AS112" s="108"/>
      <c r="AT112" s="108"/>
    </row>
    <row r="113" spans="1:46" s="42" customFormat="1" outlineLevel="1" x14ac:dyDescent="0.25">
      <c r="A113" s="108"/>
      <c r="B113" s="176"/>
      <c r="C113" s="179" t="s">
        <v>133</v>
      </c>
      <c r="D113" s="644"/>
      <c r="E113" s="94" t="s">
        <v>606</v>
      </c>
      <c r="F113" s="58"/>
      <c r="G113" s="357"/>
      <c r="H113" s="357"/>
      <c r="I113" s="85"/>
      <c r="J113" s="85"/>
      <c r="AE113" s="4"/>
      <c r="AF113" s="555"/>
      <c r="AG113" s="568"/>
      <c r="AH113" s="556"/>
      <c r="AI113" s="76"/>
      <c r="AJ113" s="74"/>
      <c r="AK113" s="74"/>
      <c r="AN113" s="108"/>
      <c r="AO113" s="108"/>
      <c r="AP113" s="108"/>
      <c r="AQ113" s="108"/>
      <c r="AR113" s="108"/>
      <c r="AS113" s="108"/>
      <c r="AT113" s="108"/>
    </row>
    <row r="114" spans="1:46" s="42" customFormat="1" outlineLevel="1" x14ac:dyDescent="0.25">
      <c r="A114" s="108"/>
      <c r="B114" s="176"/>
      <c r="C114" s="179" t="s">
        <v>458</v>
      </c>
      <c r="D114" s="644"/>
      <c r="E114" s="94" t="s">
        <v>606</v>
      </c>
      <c r="F114" s="58"/>
      <c r="G114" s="357"/>
      <c r="H114" s="357"/>
      <c r="I114" s="85"/>
      <c r="J114" s="85"/>
      <c r="AE114" s="4"/>
      <c r="AF114" s="555"/>
      <c r="AG114" s="568"/>
      <c r="AH114" s="556"/>
      <c r="AI114" s="76"/>
      <c r="AJ114" s="74"/>
      <c r="AK114" s="74"/>
      <c r="AN114" s="108"/>
      <c r="AO114" s="108"/>
      <c r="AP114" s="108"/>
      <c r="AQ114" s="108"/>
      <c r="AR114" s="108"/>
      <c r="AS114" s="108"/>
      <c r="AT114" s="108"/>
    </row>
    <row r="115" spans="1:46" s="42" customFormat="1" outlineLevel="1" x14ac:dyDescent="0.25">
      <c r="A115" s="108"/>
      <c r="B115" s="176"/>
      <c r="C115" s="179" t="s">
        <v>459</v>
      </c>
      <c r="D115" s="644"/>
      <c r="E115" s="94" t="s">
        <v>606</v>
      </c>
      <c r="F115" s="58"/>
      <c r="G115" s="357"/>
      <c r="H115" s="357"/>
      <c r="I115" s="85"/>
      <c r="J115" s="85"/>
      <c r="AE115" s="4"/>
      <c r="AF115" s="555"/>
      <c r="AG115" s="568"/>
      <c r="AH115" s="556"/>
      <c r="AI115" s="76"/>
      <c r="AJ115" s="74"/>
      <c r="AK115" s="74"/>
      <c r="AN115" s="108"/>
      <c r="AO115" s="108"/>
      <c r="AP115" s="108"/>
      <c r="AQ115" s="108"/>
      <c r="AR115" s="108"/>
      <c r="AS115" s="108"/>
      <c r="AT115" s="108"/>
    </row>
    <row r="116" spans="1:46" s="42" customFormat="1" outlineLevel="1" x14ac:dyDescent="0.25">
      <c r="A116" s="108"/>
      <c r="B116" s="176"/>
      <c r="C116" s="179" t="s">
        <v>460</v>
      </c>
      <c r="D116" s="644"/>
      <c r="E116" s="94" t="s">
        <v>607</v>
      </c>
      <c r="F116" s="58"/>
      <c r="G116" s="357"/>
      <c r="H116" s="357"/>
      <c r="I116" s="85"/>
      <c r="J116" s="85"/>
      <c r="AE116" s="4"/>
      <c r="AF116" s="555"/>
      <c r="AG116" s="568"/>
      <c r="AH116" s="556"/>
      <c r="AI116" s="76"/>
      <c r="AJ116" s="74"/>
      <c r="AK116" s="74"/>
      <c r="AN116" s="108"/>
      <c r="AO116" s="108"/>
      <c r="AP116" s="108"/>
      <c r="AQ116" s="108"/>
      <c r="AR116" s="108"/>
      <c r="AS116" s="108"/>
      <c r="AT116" s="108"/>
    </row>
    <row r="117" spans="1:46" s="42" customFormat="1" outlineLevel="1" x14ac:dyDescent="0.25">
      <c r="A117" s="108"/>
      <c r="B117" s="176"/>
      <c r="C117" s="179" t="s">
        <v>461</v>
      </c>
      <c r="D117" s="644"/>
      <c r="E117" s="94" t="s">
        <v>607</v>
      </c>
      <c r="F117" s="58"/>
      <c r="G117" s="357"/>
      <c r="H117" s="357"/>
      <c r="I117" s="85"/>
      <c r="J117" s="85"/>
      <c r="AE117" s="4"/>
      <c r="AF117" s="555"/>
      <c r="AG117" s="568"/>
      <c r="AH117" s="556"/>
      <c r="AI117" s="76"/>
      <c r="AJ117" s="74"/>
      <c r="AK117" s="74"/>
      <c r="AN117" s="108"/>
      <c r="AO117" s="108"/>
      <c r="AP117" s="108"/>
      <c r="AQ117" s="108"/>
      <c r="AR117" s="108"/>
      <c r="AS117" s="108"/>
      <c r="AT117" s="108"/>
    </row>
    <row r="118" spans="1:46" s="42" customFormat="1" outlineLevel="1" x14ac:dyDescent="0.25">
      <c r="A118" s="108"/>
      <c r="B118" s="176"/>
      <c r="C118" s="179" t="s">
        <v>462</v>
      </c>
      <c r="D118" s="644"/>
      <c r="E118" s="94" t="s">
        <v>608</v>
      </c>
      <c r="F118" s="58"/>
      <c r="G118" s="357"/>
      <c r="H118" s="357"/>
      <c r="I118" s="85"/>
      <c r="J118" s="85"/>
      <c r="AE118" s="4"/>
      <c r="AF118" s="555"/>
      <c r="AG118" s="568"/>
      <c r="AH118" s="556"/>
      <c r="AI118" s="76"/>
      <c r="AJ118" s="74"/>
      <c r="AK118" s="74"/>
      <c r="AN118" s="108"/>
      <c r="AO118" s="108"/>
      <c r="AP118" s="108"/>
      <c r="AQ118" s="108"/>
      <c r="AR118" s="108"/>
      <c r="AS118" s="108"/>
      <c r="AT118" s="108"/>
    </row>
    <row r="119" spans="1:46" s="42" customFormat="1" outlineLevel="1" x14ac:dyDescent="0.25">
      <c r="A119" s="108"/>
      <c r="B119" s="93" t="s">
        <v>30</v>
      </c>
      <c r="C119" s="629" t="s">
        <v>167</v>
      </c>
      <c r="D119" s="644"/>
      <c r="E119" s="94" t="s">
        <v>606</v>
      </c>
      <c r="F119" s="58"/>
      <c r="G119" s="357"/>
      <c r="H119" s="357"/>
      <c r="I119" s="85"/>
      <c r="J119" s="85"/>
      <c r="V119" s="359"/>
      <c r="W119" s="45"/>
      <c r="X119" s="360"/>
      <c r="Y119" s="138"/>
      <c r="Z119" s="76"/>
      <c r="AA119" s="74"/>
      <c r="AE119" s="554"/>
      <c r="AF119" s="45"/>
      <c r="AG119" s="568"/>
      <c r="AH119" s="556"/>
      <c r="AI119" s="76"/>
      <c r="AJ119" s="74"/>
      <c r="AK119" s="74"/>
      <c r="AN119" s="108"/>
      <c r="AO119" s="108"/>
      <c r="AP119" s="108"/>
      <c r="AQ119" s="108"/>
      <c r="AR119" s="108"/>
      <c r="AS119" s="108"/>
      <c r="AT119" s="108"/>
    </row>
    <row r="120" spans="1:46" s="42" customFormat="1" outlineLevel="1" x14ac:dyDescent="0.25">
      <c r="A120" s="108"/>
      <c r="B120" s="93" t="s">
        <v>30</v>
      </c>
      <c r="C120" s="629" t="s">
        <v>167</v>
      </c>
      <c r="D120" s="644"/>
      <c r="E120" s="94" t="s">
        <v>607</v>
      </c>
      <c r="F120" s="58"/>
      <c r="G120" s="357"/>
      <c r="H120" s="357"/>
      <c r="I120" s="85"/>
      <c r="J120" s="85"/>
      <c r="V120" s="359"/>
      <c r="W120" s="45"/>
      <c r="X120" s="360"/>
      <c r="Y120" s="138"/>
      <c r="Z120" s="76"/>
      <c r="AA120" s="74"/>
      <c r="AE120" s="554"/>
      <c r="AF120" s="45"/>
      <c r="AG120" s="568"/>
      <c r="AH120" s="556"/>
      <c r="AI120" s="76"/>
      <c r="AJ120" s="74"/>
      <c r="AK120" s="74"/>
      <c r="AN120" s="108"/>
      <c r="AO120" s="108"/>
      <c r="AP120" s="108"/>
      <c r="AQ120" s="108"/>
      <c r="AR120" s="108"/>
      <c r="AS120" s="108"/>
      <c r="AT120" s="108"/>
    </row>
    <row r="121" spans="1:46" s="42" customFormat="1" outlineLevel="1" x14ac:dyDescent="0.25">
      <c r="A121" s="108"/>
      <c r="B121" s="93" t="s">
        <v>30</v>
      </c>
      <c r="C121" s="637" t="s">
        <v>167</v>
      </c>
      <c r="D121" s="644"/>
      <c r="E121" s="94" t="s">
        <v>608</v>
      </c>
      <c r="F121" s="58"/>
      <c r="G121" s="357"/>
      <c r="H121" s="357"/>
      <c r="I121" s="85"/>
      <c r="J121" s="85"/>
      <c r="V121" s="359"/>
      <c r="W121" s="45"/>
      <c r="X121" s="360"/>
      <c r="Y121" s="138"/>
      <c r="Z121" s="76"/>
      <c r="AA121" s="74"/>
      <c r="AE121" s="554"/>
      <c r="AF121" s="448"/>
      <c r="AG121" s="568"/>
      <c r="AH121" s="556"/>
      <c r="AI121" s="76"/>
      <c r="AJ121" s="74"/>
      <c r="AK121" s="74"/>
      <c r="AN121" s="108"/>
      <c r="AO121" s="108"/>
      <c r="AP121" s="108"/>
      <c r="AQ121" s="108"/>
      <c r="AR121" s="108"/>
      <c r="AS121" s="108"/>
      <c r="AT121" s="108"/>
    </row>
    <row r="122" spans="1:46" s="42" customFormat="1" ht="6" customHeight="1" outlineLevel="1" x14ac:dyDescent="0.25">
      <c r="A122" s="108"/>
      <c r="B122" s="24"/>
      <c r="C122" s="24"/>
      <c r="D122" s="24"/>
      <c r="E122" s="58"/>
      <c r="F122" s="58"/>
      <c r="G122" s="357"/>
      <c r="H122" s="357"/>
      <c r="I122" s="85"/>
      <c r="J122" s="85"/>
      <c r="V122" s="74"/>
      <c r="W122" s="74"/>
      <c r="X122" s="74"/>
      <c r="Y122" s="74"/>
      <c r="Z122" s="74"/>
      <c r="AA122" s="74"/>
      <c r="AE122" s="359"/>
      <c r="AF122" s="359"/>
      <c r="AG122" s="359"/>
      <c r="AH122" s="76"/>
      <c r="AI122" s="76"/>
      <c r="AJ122" s="4"/>
      <c r="AK122" s="4"/>
      <c r="AN122" s="108"/>
      <c r="AO122" s="108"/>
      <c r="AP122" s="108"/>
      <c r="AQ122" s="108"/>
      <c r="AR122" s="108"/>
      <c r="AS122" s="108"/>
      <c r="AT122" s="108"/>
    </row>
    <row r="123" spans="1:46" s="42" customFormat="1" ht="15.75" outlineLevel="1" x14ac:dyDescent="0.25">
      <c r="A123" s="108"/>
      <c r="B123" s="723" t="s">
        <v>251</v>
      </c>
      <c r="C123" s="723"/>
      <c r="D123" s="723"/>
      <c r="E123" s="723"/>
      <c r="F123" s="723"/>
      <c r="G123" s="723"/>
      <c r="H123" s="723"/>
      <c r="I123" s="85"/>
      <c r="J123" s="85"/>
      <c r="V123" s="74"/>
      <c r="W123" s="74"/>
      <c r="X123" s="74"/>
      <c r="Y123" s="74"/>
      <c r="Z123" s="74"/>
      <c r="AA123" s="74"/>
      <c r="AE123" s="562"/>
      <c r="AF123" s="562"/>
      <c r="AG123" s="562"/>
      <c r="AH123" s="562"/>
      <c r="AI123" s="562"/>
      <c r="AJ123" s="562"/>
      <c r="AK123" s="562"/>
      <c r="AN123" s="108"/>
      <c r="AO123" s="108"/>
      <c r="AP123" s="108"/>
      <c r="AQ123" s="108"/>
      <c r="AR123" s="108"/>
      <c r="AS123" s="108"/>
      <c r="AT123" s="108"/>
    </row>
    <row r="124" spans="1:46" s="42" customFormat="1" outlineLevel="1" x14ac:dyDescent="0.25">
      <c r="A124" s="108"/>
      <c r="B124" s="93" t="s">
        <v>30</v>
      </c>
      <c r="C124" s="629" t="s">
        <v>167</v>
      </c>
      <c r="D124" s="644"/>
      <c r="E124" s="94" t="s">
        <v>605</v>
      </c>
      <c r="F124" s="117" t="s">
        <v>205</v>
      </c>
      <c r="G124" s="644"/>
      <c r="H124" s="118" t="s">
        <v>365</v>
      </c>
      <c r="I124" s="85"/>
      <c r="J124" s="85"/>
      <c r="V124" s="74"/>
      <c r="W124" s="74"/>
      <c r="X124" s="74"/>
      <c r="Y124" s="74"/>
      <c r="Z124" s="74"/>
      <c r="AA124" s="74"/>
      <c r="AE124" s="554"/>
      <c r="AF124" s="45"/>
      <c r="AG124" s="568"/>
      <c r="AH124" s="556"/>
      <c r="AI124" s="558"/>
      <c r="AJ124" s="569"/>
      <c r="AK124" s="559"/>
      <c r="AN124" s="108"/>
      <c r="AO124" s="108"/>
      <c r="AP124" s="108"/>
      <c r="AQ124" s="108"/>
      <c r="AR124" s="108"/>
      <c r="AS124" s="108"/>
      <c r="AT124" s="108"/>
    </row>
    <row r="125" spans="1:46" s="42" customFormat="1" outlineLevel="1" x14ac:dyDescent="0.25">
      <c r="A125" s="108"/>
      <c r="B125" s="93" t="s">
        <v>30</v>
      </c>
      <c r="C125" s="629" t="s">
        <v>167</v>
      </c>
      <c r="D125" s="644"/>
      <c r="E125" s="94" t="s">
        <v>605</v>
      </c>
      <c r="F125" s="117" t="s">
        <v>205</v>
      </c>
      <c r="G125" s="644"/>
      <c r="H125" s="118" t="s">
        <v>365</v>
      </c>
      <c r="I125" s="85"/>
      <c r="J125" s="85"/>
      <c r="V125" s="74"/>
      <c r="W125" s="74"/>
      <c r="X125" s="74"/>
      <c r="Y125" s="74"/>
      <c r="Z125" s="74"/>
      <c r="AA125" s="74"/>
      <c r="AE125" s="554"/>
      <c r="AF125" s="45"/>
      <c r="AG125" s="568"/>
      <c r="AH125" s="556"/>
      <c r="AI125" s="558"/>
      <c r="AJ125" s="569"/>
      <c r="AK125" s="559"/>
      <c r="AN125" s="108"/>
      <c r="AO125" s="108"/>
      <c r="AP125" s="108"/>
      <c r="AQ125" s="108"/>
      <c r="AR125" s="108"/>
      <c r="AS125" s="108"/>
      <c r="AT125" s="108"/>
    </row>
    <row r="126" spans="1:46" s="42" customFormat="1" outlineLevel="1" x14ac:dyDescent="0.25">
      <c r="A126" s="108"/>
      <c r="B126" s="93" t="s">
        <v>30</v>
      </c>
      <c r="C126" s="629" t="s">
        <v>167</v>
      </c>
      <c r="D126" s="644"/>
      <c r="E126" s="94" t="s">
        <v>605</v>
      </c>
      <c r="F126" s="117" t="s">
        <v>205</v>
      </c>
      <c r="G126" s="644"/>
      <c r="H126" s="118" t="s">
        <v>365</v>
      </c>
      <c r="I126" s="85"/>
      <c r="J126" s="85"/>
      <c r="V126" s="74"/>
      <c r="W126" s="74"/>
      <c r="X126" s="74"/>
      <c r="Y126" s="74"/>
      <c r="Z126" s="74"/>
      <c r="AA126" s="74"/>
      <c r="AE126" s="554"/>
      <c r="AF126" s="45"/>
      <c r="AG126" s="568"/>
      <c r="AH126" s="556"/>
      <c r="AI126" s="558"/>
      <c r="AJ126" s="569"/>
      <c r="AK126" s="559"/>
      <c r="AN126" s="108"/>
      <c r="AO126" s="108"/>
      <c r="AP126" s="108"/>
      <c r="AQ126" s="108"/>
      <c r="AR126" s="108"/>
      <c r="AS126" s="108"/>
      <c r="AT126" s="108"/>
    </row>
    <row r="127" spans="1:46" s="42" customFormat="1" outlineLevel="1" x14ac:dyDescent="0.25">
      <c r="A127" s="108"/>
      <c r="B127" s="93" t="s">
        <v>30</v>
      </c>
      <c r="C127" s="629" t="s">
        <v>167</v>
      </c>
      <c r="D127" s="644"/>
      <c r="E127" s="94" t="s">
        <v>605</v>
      </c>
      <c r="F127" s="117" t="s">
        <v>205</v>
      </c>
      <c r="G127" s="644"/>
      <c r="H127" s="118" t="s">
        <v>365</v>
      </c>
      <c r="I127" s="85"/>
      <c r="J127" s="85"/>
      <c r="V127" s="74"/>
      <c r="W127" s="74"/>
      <c r="X127" s="74"/>
      <c r="Y127" s="74"/>
      <c r="Z127" s="74"/>
      <c r="AA127" s="74"/>
      <c r="AE127" s="554"/>
      <c r="AF127" s="45"/>
      <c r="AG127" s="568"/>
      <c r="AH127" s="556"/>
      <c r="AI127" s="558"/>
      <c r="AJ127" s="569"/>
      <c r="AK127" s="559"/>
      <c r="AN127" s="108"/>
      <c r="AO127" s="108"/>
      <c r="AP127" s="108"/>
      <c r="AQ127" s="108"/>
      <c r="AR127" s="108"/>
      <c r="AS127" s="108"/>
      <c r="AT127" s="108"/>
    </row>
    <row r="128" spans="1:46" s="42" customFormat="1" outlineLevel="1" x14ac:dyDescent="0.25">
      <c r="A128" s="108"/>
      <c r="B128" s="93" t="s">
        <v>30</v>
      </c>
      <c r="C128" s="629" t="s">
        <v>167</v>
      </c>
      <c r="D128" s="644"/>
      <c r="E128" s="94" t="s">
        <v>605</v>
      </c>
      <c r="F128" s="117" t="s">
        <v>205</v>
      </c>
      <c r="G128" s="644"/>
      <c r="H128" s="118" t="s">
        <v>365</v>
      </c>
      <c r="I128" s="85"/>
      <c r="J128" s="85"/>
      <c r="V128" s="74"/>
      <c r="W128" s="74"/>
      <c r="X128" s="74"/>
      <c r="Y128" s="74"/>
      <c r="Z128" s="74"/>
      <c r="AA128" s="74"/>
      <c r="AE128" s="554"/>
      <c r="AF128" s="45"/>
      <c r="AG128" s="568"/>
      <c r="AH128" s="556"/>
      <c r="AI128" s="558"/>
      <c r="AJ128" s="569"/>
      <c r="AK128" s="559"/>
      <c r="AN128" s="108"/>
      <c r="AO128" s="108"/>
      <c r="AP128" s="108"/>
      <c r="AQ128" s="108"/>
      <c r="AR128" s="108"/>
      <c r="AS128" s="108"/>
      <c r="AT128" s="108"/>
    </row>
    <row r="129" spans="1:46" s="42" customFormat="1" ht="6" customHeight="1" outlineLevel="1" x14ac:dyDescent="0.25">
      <c r="A129" s="108"/>
      <c r="B129" s="93"/>
      <c r="C129" s="93"/>
      <c r="D129" s="93"/>
      <c r="E129" s="93"/>
      <c r="F129" s="93"/>
      <c r="G129" s="93"/>
      <c r="H129" s="93"/>
      <c r="I129" s="85"/>
      <c r="J129" s="85"/>
      <c r="V129" s="74"/>
      <c r="W129" s="74"/>
      <c r="X129" s="74"/>
      <c r="Y129" s="74"/>
      <c r="Z129" s="74"/>
      <c r="AA129" s="74"/>
      <c r="AE129" s="554"/>
      <c r="AF129" s="554"/>
      <c r="AG129" s="554"/>
      <c r="AH129" s="554"/>
      <c r="AI129" s="554"/>
      <c r="AJ129" s="554"/>
      <c r="AK129" s="554"/>
      <c r="AN129" s="85"/>
      <c r="AO129" s="85"/>
      <c r="AP129" s="85"/>
      <c r="AQ129" s="85"/>
      <c r="AR129" s="85"/>
      <c r="AS129" s="85"/>
      <c r="AT129" s="85"/>
    </row>
    <row r="130" spans="1:46" s="42" customFormat="1" ht="15.75" x14ac:dyDescent="0.25">
      <c r="A130" s="108"/>
      <c r="B130" s="723" t="s">
        <v>243</v>
      </c>
      <c r="C130" s="723"/>
      <c r="D130" s="723"/>
      <c r="E130" s="723"/>
      <c r="F130" s="723"/>
      <c r="G130" s="723"/>
      <c r="H130" s="723"/>
      <c r="I130" s="85"/>
      <c r="J130" s="85"/>
      <c r="AE130" s="562"/>
      <c r="AF130" s="562"/>
      <c r="AG130" s="562"/>
      <c r="AH130" s="562"/>
      <c r="AI130" s="562"/>
      <c r="AJ130" s="562"/>
      <c r="AK130" s="562"/>
      <c r="AN130" s="85"/>
      <c r="AO130" s="85"/>
      <c r="AP130" s="85"/>
      <c r="AQ130" s="85"/>
      <c r="AR130" s="85"/>
      <c r="AS130" s="85"/>
      <c r="AT130" s="85"/>
    </row>
    <row r="131" spans="1:46" s="42" customFormat="1" x14ac:dyDescent="0.25">
      <c r="A131" s="108"/>
      <c r="B131" s="25"/>
      <c r="C131" s="93" t="s">
        <v>366</v>
      </c>
      <c r="D131" s="644"/>
      <c r="E131" s="94" t="s">
        <v>628</v>
      </c>
      <c r="F131" s="27"/>
      <c r="G131" s="27"/>
      <c r="H131" s="73"/>
      <c r="I131" s="85"/>
      <c r="J131" s="85"/>
      <c r="AE131" s="138"/>
      <c r="AF131" s="554"/>
      <c r="AG131" s="568"/>
      <c r="AH131" s="556"/>
      <c r="AI131" s="126"/>
      <c r="AJ131" s="126"/>
      <c r="AK131" s="108"/>
      <c r="AN131" s="85"/>
      <c r="AO131" s="85"/>
      <c r="AP131" s="85"/>
      <c r="AQ131" s="85"/>
      <c r="AR131" s="85"/>
      <c r="AS131" s="85"/>
      <c r="AT131" s="85"/>
    </row>
    <row r="132" spans="1:46" s="42" customFormat="1" x14ac:dyDescent="0.25">
      <c r="A132" s="108"/>
      <c r="B132" s="25"/>
      <c r="C132" s="93" t="s">
        <v>367</v>
      </c>
      <c r="D132" s="644"/>
      <c r="E132" s="94" t="s">
        <v>628</v>
      </c>
      <c r="F132" s="27"/>
      <c r="G132" s="27"/>
      <c r="H132" s="73"/>
      <c r="I132" s="85"/>
      <c r="J132" s="85"/>
      <c r="AE132" s="138"/>
      <c r="AF132" s="554"/>
      <c r="AG132" s="568"/>
      <c r="AH132" s="556"/>
      <c r="AI132" s="126"/>
      <c r="AJ132" s="126"/>
      <c r="AK132" s="108"/>
      <c r="AN132" s="85"/>
      <c r="AO132" s="85"/>
      <c r="AP132" s="85"/>
      <c r="AQ132" s="85"/>
      <c r="AR132" s="85"/>
      <c r="AS132" s="85"/>
      <c r="AT132" s="85"/>
    </row>
    <row r="133" spans="1:46" s="42" customFormat="1" ht="30" x14ac:dyDescent="0.25">
      <c r="A133" s="108"/>
      <c r="B133" s="25"/>
      <c r="C133" s="93" t="s">
        <v>368</v>
      </c>
      <c r="D133" s="644"/>
      <c r="E133" s="94" t="s">
        <v>628</v>
      </c>
      <c r="F133" s="311" t="s">
        <v>379</v>
      </c>
      <c r="G133" s="670"/>
      <c r="H133" s="94"/>
      <c r="I133" s="85"/>
      <c r="J133" s="85"/>
      <c r="AE133" s="138"/>
      <c r="AF133" s="554"/>
      <c r="AG133" s="568"/>
      <c r="AH133" s="556"/>
      <c r="AI133" s="560"/>
      <c r="AJ133" s="570"/>
      <c r="AK133" s="556"/>
      <c r="AN133" s="85"/>
      <c r="AO133" s="85"/>
      <c r="AP133" s="85"/>
      <c r="AQ133" s="85"/>
      <c r="AR133" s="85"/>
      <c r="AS133" s="85"/>
      <c r="AT133" s="85"/>
    </row>
    <row r="134" spans="1:46" s="42" customFormat="1" x14ac:dyDescent="0.25">
      <c r="A134" s="108"/>
      <c r="B134" s="25"/>
      <c r="C134" s="93" t="s">
        <v>369</v>
      </c>
      <c r="D134" s="644"/>
      <c r="E134" s="94" t="s">
        <v>628</v>
      </c>
      <c r="F134" s="27"/>
      <c r="G134" s="27"/>
      <c r="H134" s="73"/>
      <c r="I134" s="85"/>
      <c r="J134" s="85"/>
      <c r="AE134" s="138"/>
      <c r="AF134" s="554"/>
      <c r="AG134" s="568"/>
      <c r="AH134" s="556"/>
      <c r="AI134" s="126"/>
      <c r="AJ134" s="126"/>
      <c r="AK134" s="108"/>
      <c r="AN134" s="85"/>
      <c r="AO134" s="85"/>
      <c r="AP134" s="85"/>
      <c r="AQ134" s="85"/>
      <c r="AR134" s="85"/>
      <c r="AS134" s="85"/>
      <c r="AT134" s="85"/>
    </row>
    <row r="135" spans="1:46" s="42" customFormat="1" x14ac:dyDescent="0.25">
      <c r="A135" s="108"/>
      <c r="B135" s="25"/>
      <c r="C135" s="93" t="s">
        <v>370</v>
      </c>
      <c r="D135" s="644"/>
      <c r="E135" s="94" t="s">
        <v>628</v>
      </c>
      <c r="F135" s="27"/>
      <c r="G135" s="27"/>
      <c r="H135" s="73"/>
      <c r="I135" s="85"/>
      <c r="J135" s="85"/>
      <c r="AE135" s="138"/>
      <c r="AF135" s="554"/>
      <c r="AG135" s="568"/>
      <c r="AH135" s="556"/>
      <c r="AI135" s="126"/>
      <c r="AJ135" s="126"/>
      <c r="AK135" s="108"/>
      <c r="AN135" s="85"/>
      <c r="AO135" s="85"/>
      <c r="AP135" s="85"/>
      <c r="AQ135" s="85"/>
      <c r="AR135" s="85"/>
      <c r="AS135" s="85"/>
      <c r="AT135" s="85"/>
    </row>
    <row r="136" spans="1:46" s="42" customFormat="1" x14ac:dyDescent="0.25">
      <c r="A136" s="108"/>
      <c r="B136" s="25"/>
      <c r="C136" s="93" t="s">
        <v>371</v>
      </c>
      <c r="D136" s="644"/>
      <c r="E136" s="94" t="s">
        <v>628</v>
      </c>
      <c r="F136" s="27"/>
      <c r="G136" s="27"/>
      <c r="H136" s="73"/>
      <c r="I136" s="85"/>
      <c r="J136" s="85"/>
      <c r="AE136" s="138"/>
      <c r="AF136" s="554"/>
      <c r="AG136" s="568"/>
      <c r="AH136" s="556"/>
      <c r="AI136" s="126"/>
      <c r="AJ136" s="126"/>
      <c r="AK136" s="108"/>
      <c r="AN136" s="85"/>
      <c r="AO136" s="85"/>
      <c r="AP136" s="85"/>
      <c r="AQ136" s="85"/>
      <c r="AR136" s="85"/>
      <c r="AS136" s="85"/>
      <c r="AT136" s="85"/>
    </row>
    <row r="137" spans="1:46" s="42" customFormat="1" x14ac:dyDescent="0.25">
      <c r="A137" s="108"/>
      <c r="B137" s="25"/>
      <c r="C137" s="93" t="s">
        <v>467</v>
      </c>
      <c r="D137" s="644"/>
      <c r="E137" s="94" t="s">
        <v>628</v>
      </c>
      <c r="F137" s="27"/>
      <c r="G137" s="27"/>
      <c r="H137" s="73"/>
      <c r="I137" s="85"/>
      <c r="J137" s="85"/>
      <c r="AE137" s="138"/>
      <c r="AF137" s="554"/>
      <c r="AG137" s="568"/>
      <c r="AH137" s="556"/>
      <c r="AI137" s="126"/>
      <c r="AJ137" s="126"/>
      <c r="AK137" s="108"/>
      <c r="AN137" s="85"/>
      <c r="AO137" s="85"/>
      <c r="AP137" s="85"/>
      <c r="AQ137" s="85"/>
      <c r="AR137" s="85"/>
      <c r="AS137" s="85"/>
      <c r="AT137" s="85"/>
    </row>
    <row r="138" spans="1:46" s="42" customFormat="1" x14ac:dyDescent="0.25">
      <c r="A138" s="108"/>
      <c r="B138" s="25"/>
      <c r="C138" s="93" t="s">
        <v>46</v>
      </c>
      <c r="D138" s="644"/>
      <c r="E138" s="94" t="s">
        <v>628</v>
      </c>
      <c r="F138" s="27"/>
      <c r="G138" s="27"/>
      <c r="H138" s="73"/>
      <c r="I138" s="85"/>
      <c r="J138" s="85"/>
      <c r="AE138" s="138"/>
      <c r="AF138" s="554"/>
      <c r="AG138" s="568"/>
      <c r="AH138" s="556"/>
      <c r="AI138" s="126"/>
      <c r="AJ138" s="126"/>
      <c r="AK138" s="108"/>
      <c r="AN138" s="85"/>
      <c r="AO138" s="85"/>
      <c r="AP138" s="85"/>
      <c r="AQ138" s="85"/>
      <c r="AR138" s="85"/>
      <c r="AS138" s="85"/>
      <c r="AT138" s="85"/>
    </row>
    <row r="139" spans="1:46" s="42" customFormat="1" x14ac:dyDescent="0.25">
      <c r="A139" s="108"/>
      <c r="B139" s="25"/>
      <c r="C139" s="93" t="s">
        <v>468</v>
      </c>
      <c r="D139" s="644"/>
      <c r="E139" s="94" t="s">
        <v>310</v>
      </c>
      <c r="F139" s="27"/>
      <c r="G139" s="39"/>
      <c r="H139" s="73"/>
      <c r="I139" s="85"/>
      <c r="J139" s="85"/>
      <c r="AE139" s="138"/>
      <c r="AF139" s="554"/>
      <c r="AG139" s="568"/>
      <c r="AH139" s="556"/>
      <c r="AI139" s="126"/>
      <c r="AJ139" s="571"/>
      <c r="AK139" s="108"/>
      <c r="AN139" s="85"/>
      <c r="AO139" s="85"/>
      <c r="AP139" s="85"/>
      <c r="AQ139" s="85"/>
      <c r="AR139" s="85"/>
      <c r="AS139" s="85"/>
      <c r="AT139" s="85"/>
    </row>
    <row r="140" spans="1:46" s="42" customFormat="1" x14ac:dyDescent="0.25">
      <c r="A140" s="108"/>
      <c r="B140" s="25"/>
      <c r="C140" s="93" t="s">
        <v>469</v>
      </c>
      <c r="D140" s="644"/>
      <c r="E140" s="94" t="s">
        <v>310</v>
      </c>
      <c r="F140" s="27"/>
      <c r="G140" s="39"/>
      <c r="H140" s="73"/>
      <c r="I140" s="85"/>
      <c r="J140" s="85"/>
      <c r="AE140" s="138"/>
      <c r="AF140" s="554"/>
      <c r="AG140" s="568"/>
      <c r="AH140" s="556"/>
      <c r="AI140" s="126"/>
      <c r="AJ140" s="571"/>
      <c r="AK140" s="108"/>
      <c r="AN140" s="85"/>
      <c r="AO140" s="85"/>
      <c r="AP140" s="85"/>
      <c r="AQ140" s="85"/>
      <c r="AR140" s="85"/>
      <c r="AS140" s="85"/>
      <c r="AT140" s="85"/>
    </row>
    <row r="141" spans="1:46" s="42" customFormat="1" x14ac:dyDescent="0.25">
      <c r="A141" s="108"/>
      <c r="B141" s="25"/>
      <c r="C141" s="93" t="s">
        <v>376</v>
      </c>
      <c r="D141" s="644"/>
      <c r="E141" s="94" t="s">
        <v>627</v>
      </c>
      <c r="F141" s="27"/>
      <c r="G141" s="39"/>
      <c r="H141" s="73"/>
      <c r="I141" s="85"/>
      <c r="J141" s="85"/>
      <c r="AE141" s="138"/>
      <c r="AF141" s="554"/>
      <c r="AG141" s="568"/>
      <c r="AH141" s="556"/>
      <c r="AI141" s="126"/>
      <c r="AJ141" s="571"/>
      <c r="AK141" s="108"/>
      <c r="AN141" s="85"/>
      <c r="AO141" s="85"/>
      <c r="AP141" s="85"/>
      <c r="AQ141" s="85"/>
      <c r="AR141" s="85"/>
      <c r="AS141" s="85"/>
      <c r="AT141" s="85"/>
    </row>
    <row r="142" spans="1:46" s="42" customFormat="1" x14ac:dyDescent="0.25">
      <c r="A142" s="108"/>
      <c r="B142" s="25"/>
      <c r="C142" s="93" t="s">
        <v>375</v>
      </c>
      <c r="D142" s="644"/>
      <c r="E142" s="94" t="s">
        <v>627</v>
      </c>
      <c r="F142" s="27"/>
      <c r="G142" s="39"/>
      <c r="H142" s="73"/>
      <c r="I142" s="85"/>
      <c r="J142" s="85"/>
      <c r="AE142" s="138"/>
      <c r="AF142" s="554"/>
      <c r="AG142" s="568"/>
      <c r="AH142" s="556"/>
      <c r="AI142" s="126"/>
      <c r="AJ142" s="571"/>
      <c r="AK142" s="108"/>
      <c r="AN142" s="85"/>
      <c r="AO142" s="85"/>
      <c r="AP142" s="85"/>
      <c r="AQ142" s="85"/>
      <c r="AR142" s="85"/>
      <c r="AS142" s="85"/>
      <c r="AT142" s="85"/>
    </row>
    <row r="143" spans="1:46" s="42" customFormat="1" x14ac:dyDescent="0.25">
      <c r="A143" s="108"/>
      <c r="B143" s="25"/>
      <c r="C143" s="93" t="s">
        <v>372</v>
      </c>
      <c r="D143" s="644"/>
      <c r="E143" s="94" t="s">
        <v>627</v>
      </c>
      <c r="F143" s="27"/>
      <c r="G143" s="39"/>
      <c r="H143" s="73"/>
      <c r="I143" s="85"/>
      <c r="J143" s="85"/>
      <c r="AE143" s="138"/>
      <c r="AF143" s="554"/>
      <c r="AG143" s="568"/>
      <c r="AH143" s="556"/>
      <c r="AI143" s="126"/>
      <c r="AJ143" s="571"/>
      <c r="AK143" s="108"/>
      <c r="AN143" s="85"/>
      <c r="AO143" s="85"/>
      <c r="AP143" s="85"/>
      <c r="AQ143" s="85"/>
      <c r="AR143" s="85"/>
      <c r="AS143" s="85"/>
      <c r="AT143" s="85"/>
    </row>
    <row r="144" spans="1:46" s="42" customFormat="1" x14ac:dyDescent="0.25">
      <c r="A144" s="108"/>
      <c r="B144" s="25"/>
      <c r="C144" s="93" t="s">
        <v>373</v>
      </c>
      <c r="D144" s="644"/>
      <c r="E144" s="94" t="s">
        <v>627</v>
      </c>
      <c r="F144" s="27"/>
      <c r="G144" s="39"/>
      <c r="H144" s="73"/>
      <c r="I144" s="85"/>
      <c r="J144" s="85"/>
      <c r="AE144" s="138"/>
      <c r="AF144" s="554"/>
      <c r="AG144" s="568"/>
      <c r="AH144" s="556"/>
      <c r="AI144" s="126"/>
      <c r="AJ144" s="571"/>
      <c r="AK144" s="108"/>
      <c r="AN144" s="85"/>
      <c r="AO144" s="85"/>
      <c r="AP144" s="85"/>
      <c r="AQ144" s="85"/>
      <c r="AR144" s="85"/>
      <c r="AS144" s="85"/>
      <c r="AT144" s="85"/>
    </row>
    <row r="145" spans="1:46" s="42" customFormat="1" x14ac:dyDescent="0.25">
      <c r="A145" s="108"/>
      <c r="B145" s="25"/>
      <c r="C145" s="93" t="s">
        <v>374</v>
      </c>
      <c r="D145" s="644"/>
      <c r="E145" s="94" t="s">
        <v>627</v>
      </c>
      <c r="F145" s="27"/>
      <c r="G145" s="39"/>
      <c r="H145" s="73"/>
      <c r="I145" s="85"/>
      <c r="J145" s="85"/>
      <c r="AE145" s="138"/>
      <c r="AF145" s="554"/>
      <c r="AG145" s="568"/>
      <c r="AH145" s="556"/>
      <c r="AI145" s="126"/>
      <c r="AJ145" s="571"/>
      <c r="AK145" s="108"/>
      <c r="AN145" s="85"/>
      <c r="AO145" s="85"/>
      <c r="AP145" s="85"/>
      <c r="AQ145" s="85"/>
      <c r="AR145" s="85"/>
      <c r="AS145" s="85"/>
      <c r="AT145" s="85"/>
    </row>
    <row r="146" spans="1:46" s="42" customFormat="1" ht="6" customHeight="1" x14ac:dyDescent="0.25">
      <c r="A146" s="108"/>
      <c r="B146" s="25"/>
      <c r="C146" s="73"/>
      <c r="D146" s="25"/>
      <c r="E146" s="73"/>
      <c r="F146" s="27"/>
      <c r="G146" s="39"/>
      <c r="H146" s="73"/>
      <c r="I146" s="85"/>
      <c r="J146" s="85"/>
      <c r="AE146" s="138"/>
      <c r="AF146" s="108"/>
      <c r="AG146" s="138"/>
      <c r="AH146" s="108"/>
      <c r="AI146" s="126"/>
      <c r="AJ146" s="571"/>
      <c r="AK146" s="108"/>
      <c r="AN146" s="85"/>
      <c r="AO146" s="85"/>
      <c r="AP146" s="85"/>
      <c r="AQ146" s="85"/>
      <c r="AR146" s="85"/>
      <c r="AS146" s="85"/>
      <c r="AT146" s="85"/>
    </row>
    <row r="147" spans="1:46" x14ac:dyDescent="0.25">
      <c r="B147" s="124"/>
      <c r="C147" s="124"/>
      <c r="D147" s="125"/>
      <c r="E147" s="124"/>
      <c r="F147" s="124"/>
      <c r="K147" s="124"/>
      <c r="L147" s="124"/>
      <c r="M147" s="125"/>
      <c r="N147" s="124"/>
      <c r="O147" s="124"/>
      <c r="T147" s="126"/>
      <c r="U147" s="126"/>
      <c r="V147" s="105"/>
      <c r="W147" s="126"/>
      <c r="X147" s="126"/>
      <c r="Y147" s="108"/>
      <c r="AE147" s="108"/>
      <c r="AF147" s="108"/>
      <c r="AG147" s="108"/>
      <c r="AH147" s="108"/>
      <c r="AI147" s="108"/>
      <c r="AJ147" s="108"/>
      <c r="AK147" s="108"/>
      <c r="AL147" s="108"/>
    </row>
    <row r="148" spans="1:46" x14ac:dyDescent="0.25">
      <c r="B148" s="124"/>
      <c r="C148" s="124"/>
      <c r="D148" s="125"/>
      <c r="E148" s="124"/>
      <c r="F148" s="124"/>
      <c r="K148" s="124"/>
      <c r="L148" s="124"/>
      <c r="M148" s="125"/>
      <c r="N148" s="124"/>
      <c r="O148" s="124"/>
      <c r="T148" s="126"/>
      <c r="U148" s="126"/>
      <c r="V148" s="105"/>
      <c r="W148" s="126"/>
      <c r="X148" s="126"/>
      <c r="Y148" s="108"/>
      <c r="AE148" s="108"/>
      <c r="AF148" s="108"/>
      <c r="AG148" s="108"/>
      <c r="AH148" s="108"/>
      <c r="AI148" s="108"/>
      <c r="AJ148" s="108"/>
      <c r="AK148" s="108"/>
      <c r="AL148" s="108"/>
    </row>
    <row r="149" spans="1:46" ht="18.75" x14ac:dyDescent="0.25">
      <c r="B149" s="732" t="s">
        <v>191</v>
      </c>
      <c r="C149" s="732"/>
      <c r="D149" s="732"/>
      <c r="E149" s="732"/>
      <c r="F149" s="732"/>
      <c r="G149" s="732"/>
      <c r="H149" s="732"/>
      <c r="K149" s="107"/>
      <c r="L149" s="127"/>
      <c r="M149" s="125"/>
      <c r="N149" s="124"/>
      <c r="O149" s="124"/>
      <c r="T149" s="128"/>
      <c r="U149" s="129"/>
      <c r="V149" s="105"/>
      <c r="W149" s="126"/>
      <c r="X149" s="126"/>
      <c r="Y149" s="108"/>
      <c r="AE149" s="108"/>
      <c r="AF149" s="108"/>
      <c r="AG149" s="108"/>
      <c r="AH149" s="108"/>
      <c r="AI149" s="108"/>
      <c r="AJ149" s="108"/>
      <c r="AK149" s="108"/>
      <c r="AL149" s="108"/>
    </row>
    <row r="150" spans="1:46" ht="18.75" x14ac:dyDescent="0.25">
      <c r="B150" s="731" t="s">
        <v>383</v>
      </c>
      <c r="C150" s="731"/>
      <c r="D150" s="731"/>
      <c r="E150" s="731"/>
      <c r="F150" s="731"/>
      <c r="G150" s="731"/>
      <c r="H150" s="731"/>
      <c r="K150" s="107"/>
      <c r="L150" s="127"/>
      <c r="M150" s="125"/>
      <c r="N150" s="124"/>
      <c r="O150" s="124"/>
      <c r="T150" s="128"/>
      <c r="U150" s="129"/>
      <c r="V150" s="105"/>
      <c r="W150" s="126"/>
      <c r="X150" s="126"/>
      <c r="Y150" s="108"/>
      <c r="AE150" s="108"/>
      <c r="AF150" s="108"/>
      <c r="AG150" s="108"/>
      <c r="AH150" s="108"/>
      <c r="AI150" s="108"/>
      <c r="AJ150" s="108"/>
      <c r="AK150" s="108"/>
      <c r="AL150" s="108"/>
    </row>
    <row r="151" spans="1:46" ht="15.75" x14ac:dyDescent="0.25">
      <c r="B151" s="25"/>
      <c r="C151" s="91" t="s">
        <v>732</v>
      </c>
      <c r="D151" s="644"/>
      <c r="E151" s="94" t="s">
        <v>760</v>
      </c>
      <c r="F151" s="27"/>
      <c r="G151" s="27"/>
      <c r="H151" s="73"/>
      <c r="K151" s="102"/>
      <c r="M151" s="45"/>
      <c r="N151" s="130"/>
      <c r="O151" s="126"/>
      <c r="P151" s="126"/>
      <c r="Q151" s="108"/>
      <c r="T151" s="130"/>
      <c r="U151" s="108"/>
      <c r="V151" s="382"/>
      <c r="W151" s="130"/>
      <c r="X151" s="126"/>
      <c r="Y151" s="126"/>
      <c r="AE151" s="108"/>
      <c r="AF151" s="108"/>
      <c r="AG151" s="108"/>
      <c r="AH151" s="108"/>
      <c r="AI151" s="108"/>
      <c r="AJ151" s="108"/>
      <c r="AK151" s="108"/>
      <c r="AL151" s="108"/>
    </row>
    <row r="152" spans="1:46" ht="15.75" x14ac:dyDescent="0.25">
      <c r="B152" s="25"/>
      <c r="C152" s="91" t="s">
        <v>740</v>
      </c>
      <c r="D152" s="644"/>
      <c r="E152" s="94" t="s">
        <v>759</v>
      </c>
      <c r="F152" s="27"/>
      <c r="G152" s="27"/>
      <c r="H152" s="73"/>
      <c r="K152" s="102"/>
      <c r="M152" s="45"/>
      <c r="N152" s="130"/>
      <c r="O152" s="126"/>
      <c r="P152" s="126"/>
      <c r="Q152" s="108"/>
      <c r="R152" s="111"/>
      <c r="T152" s="130"/>
      <c r="U152" s="108"/>
      <c r="V152" s="382"/>
      <c r="W152" s="130"/>
      <c r="X152" s="126"/>
      <c r="Y152" s="126"/>
      <c r="AE152" s="108"/>
      <c r="AF152" s="108"/>
      <c r="AG152" s="108"/>
      <c r="AH152" s="108"/>
      <c r="AI152" s="108"/>
      <c r="AJ152" s="108"/>
      <c r="AK152" s="108"/>
      <c r="AL152" s="108"/>
    </row>
    <row r="153" spans="1:46" ht="15.75" x14ac:dyDescent="0.25">
      <c r="B153" s="25"/>
      <c r="C153" s="91" t="s">
        <v>747</v>
      </c>
      <c r="D153" s="644"/>
      <c r="E153" s="94" t="s">
        <v>758</v>
      </c>
      <c r="F153" s="141" t="s">
        <v>134</v>
      </c>
      <c r="G153" s="670"/>
      <c r="H153" s="309"/>
      <c r="K153" s="102"/>
      <c r="M153" s="45"/>
      <c r="N153" s="130"/>
      <c r="O153" s="126"/>
      <c r="P153" s="126"/>
      <c r="Q153" s="108"/>
      <c r="R153" s="111"/>
      <c r="T153" s="130"/>
      <c r="U153" s="108"/>
      <c r="V153" s="382"/>
      <c r="W153" s="130"/>
      <c r="X153" s="126"/>
      <c r="Y153" s="126"/>
      <c r="AE153" s="108"/>
      <c r="AF153" s="108"/>
      <c r="AG153" s="108"/>
      <c r="AH153" s="108"/>
      <c r="AI153" s="108"/>
      <c r="AJ153" s="108"/>
      <c r="AK153" s="108"/>
      <c r="AL153" s="108"/>
    </row>
    <row r="154" spans="1:46" ht="15.75" x14ac:dyDescent="0.25">
      <c r="B154" s="25"/>
      <c r="C154" s="91" t="s">
        <v>616</v>
      </c>
      <c r="D154" s="644"/>
      <c r="E154" s="94" t="s">
        <v>258</v>
      </c>
      <c r="F154" s="141"/>
      <c r="G154" s="141"/>
      <c r="H154" s="141"/>
      <c r="K154" s="102"/>
      <c r="M154" s="45"/>
      <c r="N154" s="130"/>
      <c r="O154" s="126"/>
      <c r="P154" s="126"/>
      <c r="Q154" s="108"/>
      <c r="R154" s="111"/>
      <c r="T154" s="130"/>
      <c r="U154" s="108"/>
      <c r="V154" s="382"/>
      <c r="W154" s="130"/>
      <c r="X154" s="126"/>
      <c r="Y154" s="126"/>
      <c r="AE154" s="108"/>
      <c r="AF154" s="108"/>
      <c r="AG154" s="108"/>
      <c r="AH154" s="108"/>
      <c r="AI154" s="108"/>
      <c r="AJ154" s="108"/>
      <c r="AK154" s="108"/>
      <c r="AL154" s="108"/>
    </row>
    <row r="155" spans="1:46" ht="15.75" x14ac:dyDescent="0.25">
      <c r="B155" s="25"/>
      <c r="C155" s="91" t="s">
        <v>748</v>
      </c>
      <c r="D155" s="644"/>
      <c r="E155" s="94" t="s">
        <v>756</v>
      </c>
      <c r="F155" s="141"/>
      <c r="G155" s="141"/>
      <c r="H155" s="141"/>
      <c r="K155" s="102"/>
      <c r="M155" s="45"/>
      <c r="N155" s="130"/>
      <c r="O155" s="126"/>
      <c r="P155" s="126"/>
      <c r="Q155" s="108"/>
      <c r="T155" s="130"/>
      <c r="U155" s="108"/>
      <c r="V155" s="382"/>
      <c r="W155" s="130"/>
      <c r="X155" s="126"/>
      <c r="Y155" s="126"/>
      <c r="AE155" s="108"/>
      <c r="AF155" s="108"/>
      <c r="AG155" s="108"/>
      <c r="AH155" s="108"/>
      <c r="AI155" s="108"/>
      <c r="AJ155" s="108"/>
      <c r="AK155" s="108"/>
      <c r="AL155" s="108"/>
    </row>
    <row r="156" spans="1:46" ht="15.75" x14ac:dyDescent="0.25">
      <c r="B156" s="25"/>
      <c r="C156" s="91" t="s">
        <v>749</v>
      </c>
      <c r="D156" s="644"/>
      <c r="E156" s="94" t="s">
        <v>756</v>
      </c>
      <c r="F156" s="141"/>
      <c r="G156" s="141"/>
      <c r="H156" s="141"/>
      <c r="K156" s="102"/>
      <c r="M156" s="45"/>
      <c r="N156" s="130"/>
      <c r="O156" s="126"/>
      <c r="P156" s="126"/>
      <c r="Q156" s="108"/>
      <c r="T156" s="130"/>
      <c r="U156" s="108"/>
      <c r="V156" s="382"/>
      <c r="W156" s="130"/>
      <c r="X156" s="126"/>
      <c r="Y156" s="126"/>
      <c r="AE156" s="108"/>
      <c r="AF156" s="108"/>
      <c r="AG156" s="108"/>
      <c r="AH156" s="108"/>
      <c r="AI156" s="108"/>
      <c r="AJ156" s="108"/>
      <c r="AK156" s="108"/>
      <c r="AL156" s="108"/>
    </row>
    <row r="157" spans="1:46" ht="15.75" x14ac:dyDescent="0.25">
      <c r="B157" s="25"/>
      <c r="C157" s="91" t="s">
        <v>987</v>
      </c>
      <c r="D157" s="644"/>
      <c r="E157" s="94" t="s">
        <v>757</v>
      </c>
      <c r="F157" s="141"/>
      <c r="G157" s="141"/>
      <c r="H157" s="141"/>
      <c r="K157" s="102"/>
      <c r="M157" s="45"/>
      <c r="N157" s="130"/>
      <c r="O157" s="126"/>
      <c r="P157" s="126"/>
      <c r="Q157" s="108"/>
      <c r="T157" s="130"/>
      <c r="U157" s="108"/>
      <c r="V157" s="382"/>
      <c r="W157" s="130"/>
      <c r="X157" s="126"/>
      <c r="Y157" s="126"/>
      <c r="AE157" s="108"/>
      <c r="AF157" s="108"/>
      <c r="AG157" s="108"/>
      <c r="AH157" s="108"/>
      <c r="AI157" s="108"/>
      <c r="AJ157" s="108"/>
      <c r="AK157" s="108"/>
      <c r="AL157" s="108"/>
    </row>
    <row r="158" spans="1:46" ht="15.75" x14ac:dyDescent="0.25">
      <c r="B158" s="25"/>
      <c r="C158" s="91" t="s">
        <v>750</v>
      </c>
      <c r="D158" s="644"/>
      <c r="E158" s="94" t="s">
        <v>713</v>
      </c>
      <c r="F158" s="141"/>
      <c r="G158" s="141"/>
      <c r="H158" s="141"/>
      <c r="K158" s="102"/>
      <c r="M158" s="45"/>
      <c r="N158" s="130"/>
      <c r="O158" s="126"/>
      <c r="P158" s="126"/>
      <c r="Q158" s="108"/>
      <c r="T158" s="130"/>
      <c r="U158" s="108"/>
      <c r="V158" s="382"/>
      <c r="W158" s="130"/>
      <c r="X158" s="126"/>
      <c r="Y158" s="126"/>
      <c r="AE158" s="108"/>
      <c r="AF158" s="108"/>
      <c r="AG158" s="108"/>
      <c r="AH158" s="108"/>
      <c r="AI158" s="108"/>
      <c r="AJ158" s="108"/>
      <c r="AK158" s="108"/>
      <c r="AL158" s="108"/>
    </row>
    <row r="159" spans="1:46" ht="15.75" x14ac:dyDescent="0.25">
      <c r="B159" s="25"/>
      <c r="C159" s="91" t="s">
        <v>751</v>
      </c>
      <c r="D159" s="644"/>
      <c r="E159" s="94" t="s">
        <v>757</v>
      </c>
      <c r="F159" s="141" t="s">
        <v>134</v>
      </c>
      <c r="G159" s="670"/>
      <c r="H159" s="57"/>
      <c r="K159" s="102"/>
      <c r="M159" s="45"/>
      <c r="N159" s="130"/>
      <c r="O159" s="126"/>
      <c r="P159" s="126"/>
      <c r="Q159" s="108"/>
      <c r="T159" s="130"/>
      <c r="U159" s="108"/>
      <c r="V159" s="382"/>
      <c r="W159" s="130"/>
      <c r="X159" s="126"/>
      <c r="Y159" s="126"/>
      <c r="AE159" s="108"/>
      <c r="AF159" s="108"/>
      <c r="AG159" s="108"/>
      <c r="AH159" s="108"/>
      <c r="AI159" s="108"/>
      <c r="AJ159" s="108"/>
      <c r="AK159" s="108"/>
      <c r="AL159" s="108"/>
    </row>
    <row r="160" spans="1:46" ht="15.75" x14ac:dyDescent="0.25">
      <c r="B160" s="25"/>
      <c r="C160" s="91" t="s">
        <v>752</v>
      </c>
      <c r="D160" s="644"/>
      <c r="E160" s="94" t="s">
        <v>757</v>
      </c>
      <c r="F160" s="141" t="s">
        <v>134</v>
      </c>
      <c r="G160" s="670"/>
      <c r="H160" s="57"/>
      <c r="K160" s="102"/>
      <c r="M160" s="45"/>
      <c r="N160" s="130"/>
      <c r="O160" s="126"/>
      <c r="P160" s="126"/>
      <c r="Q160" s="108"/>
      <c r="T160" s="130"/>
      <c r="U160" s="108"/>
      <c r="V160" s="382"/>
      <c r="W160" s="130"/>
      <c r="X160" s="126"/>
      <c r="Y160" s="126"/>
      <c r="AE160" s="108"/>
      <c r="AF160" s="108"/>
      <c r="AG160" s="108"/>
      <c r="AH160" s="108"/>
      <c r="AI160" s="108"/>
      <c r="AJ160" s="108"/>
      <c r="AK160" s="108"/>
      <c r="AL160" s="108"/>
    </row>
    <row r="161" spans="2:38" ht="15.75" x14ac:dyDescent="0.25">
      <c r="B161" s="25"/>
      <c r="C161" s="91" t="s">
        <v>753</v>
      </c>
      <c r="D161" s="644"/>
      <c r="E161" s="94" t="s">
        <v>757</v>
      </c>
      <c r="F161" s="141" t="s">
        <v>134</v>
      </c>
      <c r="G161" s="670"/>
      <c r="H161" s="57"/>
      <c r="K161" s="102"/>
      <c r="M161" s="45"/>
      <c r="N161" s="130"/>
      <c r="O161" s="126"/>
      <c r="P161" s="126"/>
      <c r="Q161" s="108"/>
      <c r="T161" s="130"/>
      <c r="U161" s="108"/>
      <c r="V161" s="382"/>
      <c r="W161" s="130"/>
      <c r="X161" s="126"/>
      <c r="Y161" s="126"/>
      <c r="AE161" s="108"/>
      <c r="AF161" s="108"/>
      <c r="AG161" s="108"/>
      <c r="AH161" s="108"/>
      <c r="AI161" s="108"/>
      <c r="AJ161" s="108"/>
      <c r="AK161" s="108"/>
      <c r="AL161" s="108"/>
    </row>
    <row r="162" spans="2:38" ht="15.75" x14ac:dyDescent="0.25">
      <c r="B162" s="25"/>
      <c r="C162" s="91" t="s">
        <v>754</v>
      </c>
      <c r="D162" s="644"/>
      <c r="E162" s="94" t="s">
        <v>757</v>
      </c>
      <c r="F162" s="141" t="s">
        <v>134</v>
      </c>
      <c r="G162" s="670"/>
      <c r="H162" s="57"/>
      <c r="K162" s="102"/>
      <c r="M162" s="45"/>
      <c r="N162" s="130"/>
      <c r="O162" s="126"/>
      <c r="P162" s="126"/>
      <c r="Q162" s="108"/>
      <c r="T162" s="130"/>
      <c r="U162" s="108"/>
      <c r="V162" s="382"/>
      <c r="W162" s="130"/>
      <c r="X162" s="126"/>
      <c r="Y162" s="126"/>
      <c r="AE162" s="108"/>
      <c r="AF162" s="108"/>
      <c r="AG162" s="108"/>
      <c r="AH162" s="108"/>
      <c r="AI162" s="108"/>
      <c r="AJ162" s="108"/>
      <c r="AK162" s="108"/>
      <c r="AL162" s="108"/>
    </row>
    <row r="163" spans="2:38" ht="15.75" x14ac:dyDescent="0.25">
      <c r="B163" s="25"/>
      <c r="C163" s="91" t="s">
        <v>755</v>
      </c>
      <c r="D163" s="644"/>
      <c r="E163" s="94" t="s">
        <v>757</v>
      </c>
      <c r="F163" s="141"/>
      <c r="G163" s="141"/>
      <c r="H163" s="141"/>
      <c r="K163" s="102"/>
      <c r="M163" s="45"/>
      <c r="N163" s="130"/>
      <c r="O163" s="126"/>
      <c r="P163" s="126"/>
      <c r="Q163" s="108"/>
      <c r="T163" s="130"/>
      <c r="U163" s="108"/>
      <c r="V163" s="382"/>
      <c r="W163" s="130"/>
      <c r="X163" s="126"/>
      <c r="Y163" s="126"/>
      <c r="AE163" s="108"/>
      <c r="AF163" s="108"/>
      <c r="AG163" s="108"/>
      <c r="AH163" s="108"/>
      <c r="AI163" s="108"/>
      <c r="AJ163" s="108"/>
      <c r="AK163" s="108"/>
      <c r="AL163" s="108"/>
    </row>
    <row r="164" spans="2:38" ht="15.75" x14ac:dyDescent="0.25">
      <c r="B164" s="25"/>
      <c r="C164" s="91" t="s">
        <v>770</v>
      </c>
      <c r="D164" s="644"/>
      <c r="E164" s="94" t="s">
        <v>757</v>
      </c>
      <c r="F164" s="141" t="s">
        <v>134</v>
      </c>
      <c r="G164" s="670"/>
      <c r="H164" s="73"/>
      <c r="K164" s="102"/>
      <c r="M164" s="45"/>
      <c r="N164" s="130"/>
      <c r="O164" s="105"/>
      <c r="P164" s="132"/>
      <c r="Q164" s="108"/>
      <c r="T164" s="130"/>
      <c r="U164" s="108"/>
      <c r="V164" s="382"/>
      <c r="W164" s="130"/>
      <c r="X164" s="105"/>
      <c r="Y164" s="132"/>
      <c r="AE164" s="108"/>
      <c r="AF164" s="108"/>
      <c r="AG164" s="108"/>
      <c r="AH164" s="108"/>
      <c r="AI164" s="108"/>
      <c r="AJ164" s="108"/>
      <c r="AK164" s="108"/>
      <c r="AL164" s="108"/>
    </row>
    <row r="165" spans="2:38" ht="6" customHeight="1" x14ac:dyDescent="0.25">
      <c r="B165" s="25"/>
      <c r="C165" s="73"/>
      <c r="D165" s="73"/>
      <c r="E165" s="29"/>
      <c r="F165" s="26"/>
      <c r="G165" s="26"/>
      <c r="H165" s="73"/>
      <c r="K165" s="102"/>
      <c r="M165" s="45"/>
      <c r="N165" s="130"/>
      <c r="O165" s="105"/>
      <c r="P165" s="132"/>
      <c r="Q165" s="108"/>
      <c r="T165" s="130"/>
      <c r="U165" s="108"/>
      <c r="V165" s="382"/>
      <c r="W165" s="130"/>
      <c r="X165" s="105"/>
      <c r="Y165" s="132"/>
      <c r="AE165" s="108"/>
      <c r="AF165" s="108"/>
      <c r="AG165" s="108"/>
      <c r="AH165" s="108"/>
      <c r="AI165" s="108"/>
      <c r="AJ165" s="108"/>
      <c r="AK165" s="108"/>
      <c r="AL165" s="108"/>
    </row>
    <row r="166" spans="2:38" ht="15.75" x14ac:dyDescent="0.25">
      <c r="B166" s="731" t="s">
        <v>243</v>
      </c>
      <c r="C166" s="731"/>
      <c r="D166" s="731"/>
      <c r="E166" s="731"/>
      <c r="F166" s="731"/>
      <c r="G166" s="731"/>
      <c r="H166" s="731"/>
      <c r="K166" s="133"/>
      <c r="M166" s="134"/>
      <c r="N166" s="135"/>
      <c r="O166" s="135"/>
      <c r="P166" s="135"/>
      <c r="Q166" s="108"/>
      <c r="T166" s="136"/>
      <c r="U166" s="108"/>
      <c r="V166" s="134"/>
      <c r="W166" s="135"/>
      <c r="X166" s="135"/>
      <c r="Y166" s="135"/>
      <c r="AE166" s="108"/>
      <c r="AF166" s="108"/>
      <c r="AG166" s="108"/>
      <c r="AH166" s="108"/>
      <c r="AI166" s="108"/>
      <c r="AJ166" s="108"/>
      <c r="AK166" s="108"/>
      <c r="AL166" s="108"/>
    </row>
    <row r="167" spans="2:38" ht="15.75" x14ac:dyDescent="0.25">
      <c r="B167" s="54"/>
      <c r="C167" s="730" t="s">
        <v>391</v>
      </c>
      <c r="D167" s="730"/>
      <c r="E167" s="730"/>
      <c r="F167" s="26"/>
      <c r="G167" s="43"/>
      <c r="H167" s="73"/>
      <c r="K167" s="133"/>
      <c r="M167" s="134"/>
      <c r="N167" s="135"/>
      <c r="O167" s="135"/>
      <c r="P167" s="135"/>
      <c r="Q167" s="108"/>
      <c r="T167" s="136"/>
      <c r="U167" s="108"/>
      <c r="V167" s="134"/>
      <c r="W167" s="135"/>
      <c r="X167" s="135"/>
      <c r="Y167" s="135"/>
      <c r="AE167" s="108"/>
      <c r="AF167" s="108"/>
      <c r="AG167" s="108"/>
      <c r="AH167" s="108"/>
      <c r="AI167" s="108"/>
      <c r="AJ167" s="108"/>
      <c r="AK167" s="108"/>
      <c r="AL167" s="108"/>
    </row>
    <row r="168" spans="2:38" ht="15.75" x14ac:dyDescent="0.25">
      <c r="B168" s="54"/>
      <c r="C168" s="91" t="s">
        <v>392</v>
      </c>
      <c r="D168" s="644"/>
      <c r="E168" s="94" t="s">
        <v>757</v>
      </c>
      <c r="F168" s="26"/>
      <c r="G168" s="43"/>
      <c r="H168" s="73"/>
      <c r="K168" s="137"/>
      <c r="M168" s="45"/>
      <c r="N168" s="138"/>
      <c r="O168" s="105"/>
      <c r="P168" s="132"/>
      <c r="Q168" s="108"/>
      <c r="T168" s="139"/>
      <c r="U168" s="108"/>
      <c r="V168" s="45"/>
      <c r="W168" s="138"/>
      <c r="X168" s="105"/>
      <c r="Y168" s="132"/>
      <c r="AE168" s="108"/>
      <c r="AF168" s="108"/>
      <c r="AG168" s="108"/>
      <c r="AH168" s="108"/>
      <c r="AI168" s="108"/>
      <c r="AJ168" s="108"/>
      <c r="AK168" s="108"/>
      <c r="AL168" s="108"/>
    </row>
    <row r="169" spans="2:38" ht="15.75" x14ac:dyDescent="0.25">
      <c r="B169" s="73"/>
      <c r="C169" s="91" t="s">
        <v>134</v>
      </c>
      <c r="D169" s="670"/>
      <c r="E169" s="25"/>
      <c r="F169" s="26"/>
      <c r="G169" s="43"/>
      <c r="H169" s="73"/>
      <c r="K169" s="137"/>
      <c r="M169" s="45"/>
      <c r="N169" s="138"/>
      <c r="O169" s="105"/>
      <c r="P169" s="132"/>
      <c r="Q169" s="108"/>
      <c r="T169" s="139"/>
      <c r="U169" s="108"/>
      <c r="V169" s="45"/>
      <c r="W169" s="138"/>
      <c r="X169" s="105"/>
      <c r="Y169" s="132"/>
      <c r="AE169" s="108"/>
      <c r="AF169" s="108"/>
      <c r="AG169" s="108"/>
      <c r="AH169" s="108"/>
      <c r="AI169" s="108"/>
      <c r="AJ169" s="108"/>
      <c r="AK169" s="108"/>
      <c r="AL169" s="108"/>
    </row>
    <row r="170" spans="2:38" ht="6" customHeight="1" x14ac:dyDescent="0.25">
      <c r="B170" s="156"/>
      <c r="C170" s="125"/>
      <c r="D170" s="132"/>
      <c r="E170" s="75"/>
      <c r="F170" s="125"/>
      <c r="G170" s="132"/>
      <c r="K170" s="137"/>
      <c r="M170" s="45"/>
      <c r="N170" s="138"/>
      <c r="O170" s="105"/>
      <c r="P170" s="132"/>
      <c r="Q170" s="108"/>
      <c r="T170" s="139"/>
      <c r="U170" s="108"/>
      <c r="V170" s="45"/>
      <c r="W170" s="138"/>
      <c r="X170" s="105"/>
      <c r="Y170" s="132"/>
      <c r="AE170" s="108"/>
      <c r="AF170" s="108"/>
      <c r="AG170" s="108"/>
      <c r="AH170" s="108"/>
      <c r="AI170" s="108"/>
      <c r="AJ170" s="108"/>
      <c r="AK170" s="108"/>
      <c r="AL170" s="108"/>
    </row>
    <row r="171" spans="2:38" ht="15.75" x14ac:dyDescent="0.25">
      <c r="B171" s="54"/>
      <c r="C171" s="730" t="s">
        <v>390</v>
      </c>
      <c r="D171" s="730"/>
      <c r="E171" s="730"/>
      <c r="F171" s="26"/>
      <c r="G171" s="43"/>
      <c r="H171" s="73"/>
      <c r="K171" s="137"/>
      <c r="M171" s="45"/>
      <c r="N171" s="138"/>
      <c r="O171" s="105"/>
      <c r="P171" s="132"/>
      <c r="Q171" s="108"/>
      <c r="T171" s="139"/>
      <c r="U171" s="108"/>
      <c r="V171" s="45"/>
      <c r="W171" s="138"/>
      <c r="X171" s="105"/>
      <c r="Y171" s="132"/>
      <c r="AE171" s="108"/>
      <c r="AF171" s="108"/>
      <c r="AG171" s="108"/>
      <c r="AH171" s="108"/>
      <c r="AI171" s="108"/>
      <c r="AJ171" s="108"/>
      <c r="AK171" s="108"/>
      <c r="AL171" s="108"/>
    </row>
    <row r="172" spans="2:38" ht="15.75" x14ac:dyDescent="0.25">
      <c r="B172" s="26"/>
      <c r="C172" s="91" t="s">
        <v>392</v>
      </c>
      <c r="D172" s="644"/>
      <c r="E172" s="94" t="s">
        <v>757</v>
      </c>
      <c r="F172" s="26"/>
      <c r="G172" s="43"/>
      <c r="H172" s="73"/>
      <c r="K172" s="137"/>
      <c r="M172" s="45"/>
      <c r="N172" s="138"/>
      <c r="O172" s="105"/>
      <c r="P172" s="132"/>
      <c r="Q172" s="108"/>
      <c r="T172" s="139"/>
      <c r="U172" s="108"/>
      <c r="V172" s="45"/>
      <c r="W172" s="138"/>
      <c r="X172" s="105"/>
      <c r="Y172" s="132"/>
      <c r="AE172" s="108"/>
      <c r="AF172" s="108"/>
      <c r="AG172" s="108"/>
      <c r="AH172" s="108"/>
      <c r="AI172" s="108"/>
      <c r="AJ172" s="108"/>
      <c r="AK172" s="108"/>
      <c r="AL172" s="108"/>
    </row>
    <row r="173" spans="2:38" ht="15.75" x14ac:dyDescent="0.25">
      <c r="B173" s="73"/>
      <c r="C173" s="91" t="s">
        <v>134</v>
      </c>
      <c r="D173" s="670"/>
      <c r="E173" s="25"/>
      <c r="F173" s="26"/>
      <c r="G173" s="43"/>
      <c r="H173" s="73"/>
      <c r="K173" s="137"/>
      <c r="M173" s="45"/>
      <c r="N173" s="138"/>
      <c r="O173" s="105"/>
      <c r="P173" s="132"/>
      <c r="Q173" s="108"/>
      <c r="T173" s="139"/>
      <c r="U173" s="108"/>
      <c r="V173" s="45"/>
      <c r="W173" s="138"/>
      <c r="X173" s="105"/>
      <c r="Y173" s="132"/>
      <c r="AE173" s="108"/>
      <c r="AF173" s="108"/>
      <c r="AG173" s="108"/>
      <c r="AH173" s="108"/>
      <c r="AI173" s="108"/>
      <c r="AJ173" s="108"/>
      <c r="AK173" s="108"/>
      <c r="AL173" s="108"/>
    </row>
    <row r="174" spans="2:38" ht="6" customHeight="1" x14ac:dyDescent="0.25">
      <c r="B174" s="156"/>
      <c r="C174" s="125"/>
      <c r="D174" s="132"/>
      <c r="E174" s="75"/>
      <c r="F174" s="125"/>
      <c r="G174" s="132"/>
      <c r="K174" s="137"/>
      <c r="M174" s="45"/>
      <c r="N174" s="138"/>
      <c r="O174" s="105"/>
      <c r="P174" s="132"/>
      <c r="Q174" s="108"/>
      <c r="T174" s="139"/>
      <c r="U174" s="108"/>
      <c r="V174" s="45"/>
      <c r="W174" s="138"/>
      <c r="X174" s="105"/>
      <c r="Y174" s="132"/>
      <c r="AE174" s="108"/>
      <c r="AF174" s="108"/>
      <c r="AG174" s="108"/>
      <c r="AH174" s="108"/>
      <c r="AI174" s="108"/>
      <c r="AJ174" s="108"/>
      <c r="AK174" s="108"/>
      <c r="AL174" s="108"/>
    </row>
    <row r="175" spans="2:38" ht="15.75" x14ac:dyDescent="0.25">
      <c r="B175" s="54"/>
      <c r="C175" s="730" t="s">
        <v>389</v>
      </c>
      <c r="D175" s="730"/>
      <c r="E175" s="730"/>
      <c r="F175" s="26"/>
      <c r="G175" s="43"/>
      <c r="H175" s="73"/>
      <c r="K175" s="137"/>
      <c r="M175" s="45"/>
      <c r="N175" s="138"/>
      <c r="O175" s="105"/>
      <c r="P175" s="132"/>
      <c r="Q175" s="108"/>
      <c r="T175" s="139"/>
      <c r="U175" s="108"/>
      <c r="V175" s="45"/>
      <c r="W175" s="138"/>
      <c r="X175" s="105"/>
      <c r="Y175" s="132"/>
      <c r="AE175" s="108"/>
      <c r="AF175" s="108"/>
      <c r="AG175" s="108"/>
      <c r="AH175" s="108"/>
      <c r="AI175" s="108"/>
      <c r="AJ175" s="108"/>
      <c r="AK175" s="108"/>
      <c r="AL175" s="108"/>
    </row>
    <row r="176" spans="2:38" ht="15.75" x14ac:dyDescent="0.25">
      <c r="B176" s="26"/>
      <c r="C176" s="91" t="s">
        <v>392</v>
      </c>
      <c r="D176" s="644"/>
      <c r="E176" s="94" t="s">
        <v>757</v>
      </c>
      <c r="F176" s="26"/>
      <c r="G176" s="43"/>
      <c r="H176" s="73"/>
      <c r="K176" s="137"/>
      <c r="M176" s="45"/>
      <c r="N176" s="138"/>
      <c r="O176" s="105"/>
      <c r="P176" s="132"/>
      <c r="Q176" s="108"/>
      <c r="T176" s="139"/>
      <c r="U176" s="108"/>
      <c r="V176" s="45"/>
      <c r="W176" s="138"/>
      <c r="X176" s="105"/>
      <c r="Y176" s="132"/>
      <c r="AE176" s="108"/>
      <c r="AF176" s="108"/>
      <c r="AG176" s="108"/>
      <c r="AH176" s="108"/>
      <c r="AI176" s="108"/>
      <c r="AJ176" s="108"/>
      <c r="AK176" s="108"/>
      <c r="AL176" s="108"/>
    </row>
    <row r="177" spans="2:38" ht="15.75" x14ac:dyDescent="0.25">
      <c r="B177" s="73"/>
      <c r="C177" s="91" t="s">
        <v>134</v>
      </c>
      <c r="D177" s="670"/>
      <c r="E177" s="25"/>
      <c r="F177" s="26"/>
      <c r="G177" s="43"/>
      <c r="H177" s="73"/>
      <c r="K177" s="137"/>
      <c r="M177" s="45"/>
      <c r="N177" s="138"/>
      <c r="O177" s="105"/>
      <c r="P177" s="132"/>
      <c r="Q177" s="108"/>
      <c r="T177" s="139"/>
      <c r="U177" s="108"/>
      <c r="V177" s="45"/>
      <c r="W177" s="138"/>
      <c r="X177" s="105"/>
      <c r="Y177" s="132"/>
      <c r="AE177" s="108"/>
      <c r="AF177" s="108"/>
      <c r="AG177" s="108"/>
      <c r="AH177" s="108"/>
      <c r="AI177" s="108"/>
      <c r="AJ177" s="108"/>
      <c r="AK177" s="108"/>
      <c r="AL177" s="108"/>
    </row>
    <row r="178" spans="2:38" ht="15.75" x14ac:dyDescent="0.25">
      <c r="B178" s="26"/>
      <c r="C178" s="91" t="s">
        <v>257</v>
      </c>
      <c r="D178" s="644"/>
      <c r="E178" s="94" t="s">
        <v>190</v>
      </c>
      <c r="F178" s="26"/>
      <c r="G178" s="43"/>
      <c r="H178" s="73"/>
      <c r="K178" s="137"/>
      <c r="M178" s="45"/>
      <c r="N178" s="138"/>
      <c r="O178" s="105"/>
      <c r="P178" s="132"/>
      <c r="Q178" s="108"/>
      <c r="T178" s="139"/>
      <c r="U178" s="108"/>
      <c r="V178" s="45"/>
      <c r="W178" s="138"/>
      <c r="X178" s="105"/>
      <c r="Y178" s="132"/>
      <c r="AE178" s="108"/>
      <c r="AF178" s="108"/>
      <c r="AG178" s="108"/>
      <c r="AH178" s="108"/>
      <c r="AI178" s="108"/>
      <c r="AJ178" s="108"/>
      <c r="AK178" s="108"/>
      <c r="AL178" s="108"/>
    </row>
    <row r="179" spans="2:38" ht="6" customHeight="1" x14ac:dyDescent="0.25">
      <c r="B179" s="156"/>
      <c r="C179" s="157"/>
      <c r="D179" s="53"/>
      <c r="E179" s="138"/>
      <c r="F179" s="125"/>
      <c r="G179" s="105"/>
      <c r="K179" s="137"/>
      <c r="M179" s="45"/>
      <c r="N179" s="138"/>
      <c r="O179" s="105"/>
      <c r="P179" s="132"/>
      <c r="Q179" s="108"/>
      <c r="T179" s="139"/>
      <c r="U179" s="108"/>
      <c r="V179" s="45"/>
      <c r="W179" s="138"/>
      <c r="X179" s="105"/>
      <c r="Y179" s="132"/>
      <c r="AE179" s="108"/>
      <c r="AF179" s="108"/>
      <c r="AG179" s="108"/>
      <c r="AH179" s="108"/>
      <c r="AI179" s="108"/>
      <c r="AJ179" s="108"/>
      <c r="AK179" s="108"/>
      <c r="AL179" s="108"/>
    </row>
    <row r="180" spans="2:38" ht="15.75" x14ac:dyDescent="0.25">
      <c r="B180" s="54"/>
      <c r="C180" s="733" t="s">
        <v>184</v>
      </c>
      <c r="D180" s="733"/>
      <c r="E180" s="733"/>
      <c r="F180" s="26"/>
      <c r="G180" s="43"/>
      <c r="H180" s="73"/>
      <c r="K180" s="137"/>
      <c r="M180" s="45"/>
      <c r="N180" s="138"/>
      <c r="O180" s="105"/>
      <c r="P180" s="132"/>
      <c r="Q180" s="108"/>
      <c r="T180" s="139"/>
      <c r="U180" s="108"/>
      <c r="V180" s="45"/>
      <c r="W180" s="138"/>
      <c r="X180" s="105"/>
      <c r="Y180" s="132"/>
      <c r="AE180" s="108"/>
      <c r="AF180" s="108"/>
      <c r="AG180" s="108"/>
      <c r="AH180" s="108"/>
      <c r="AI180" s="108"/>
      <c r="AJ180" s="108"/>
      <c r="AK180" s="108"/>
      <c r="AL180" s="108"/>
    </row>
    <row r="181" spans="2:38" ht="15.75" x14ac:dyDescent="0.25">
      <c r="B181" s="26"/>
      <c r="C181" s="91" t="s">
        <v>392</v>
      </c>
      <c r="D181" s="644"/>
      <c r="E181" s="94" t="s">
        <v>757</v>
      </c>
      <c r="F181" s="26"/>
      <c r="G181" s="26"/>
      <c r="H181" s="73"/>
      <c r="K181" s="102"/>
      <c r="M181" s="45"/>
      <c r="N181" s="138"/>
      <c r="O181" s="105"/>
      <c r="P181" s="132"/>
      <c r="Q181" s="108"/>
      <c r="T181" s="130"/>
      <c r="U181" s="108"/>
      <c r="V181" s="45"/>
      <c r="W181" s="138"/>
      <c r="X181" s="105"/>
      <c r="Y181" s="132"/>
      <c r="AE181" s="108"/>
      <c r="AF181" s="108"/>
      <c r="AG181" s="108"/>
      <c r="AH181" s="108"/>
      <c r="AI181" s="108"/>
      <c r="AJ181" s="108"/>
      <c r="AK181" s="108"/>
      <c r="AL181" s="108"/>
    </row>
    <row r="182" spans="2:38" ht="15.75" x14ac:dyDescent="0.25">
      <c r="B182" s="73"/>
      <c r="C182" s="91" t="s">
        <v>134</v>
      </c>
      <c r="D182" s="670"/>
      <c r="E182" s="25"/>
      <c r="F182" s="26"/>
      <c r="G182" s="26"/>
      <c r="H182" s="73"/>
      <c r="K182" s="102"/>
      <c r="M182" s="45"/>
      <c r="N182" s="138"/>
      <c r="O182" s="105"/>
      <c r="P182" s="132"/>
      <c r="Q182" s="108"/>
      <c r="T182" s="130"/>
      <c r="U182" s="108"/>
      <c r="V182" s="45"/>
      <c r="W182" s="138"/>
      <c r="X182" s="105"/>
      <c r="Y182" s="132"/>
      <c r="AE182" s="108"/>
      <c r="AF182" s="108"/>
      <c r="AG182" s="108"/>
      <c r="AH182" s="108"/>
      <c r="AI182" s="108"/>
      <c r="AJ182" s="108"/>
      <c r="AK182" s="108"/>
      <c r="AL182" s="108"/>
    </row>
    <row r="183" spans="2:38" ht="15.75" x14ac:dyDescent="0.25">
      <c r="B183" s="26"/>
      <c r="C183" s="91" t="s">
        <v>257</v>
      </c>
      <c r="D183" s="644"/>
      <c r="E183" s="94" t="s">
        <v>190</v>
      </c>
      <c r="F183" s="26"/>
      <c r="G183" s="26"/>
      <c r="H183" s="73"/>
      <c r="M183" s="45"/>
      <c r="N183" s="138"/>
      <c r="O183" s="105"/>
      <c r="P183" s="132"/>
      <c r="Q183" s="108"/>
      <c r="T183" s="130"/>
      <c r="U183" s="108"/>
      <c r="V183" s="45"/>
      <c r="W183" s="138"/>
      <c r="X183" s="105"/>
      <c r="Y183" s="132"/>
      <c r="AE183" s="108"/>
      <c r="AF183" s="108"/>
      <c r="AG183" s="108"/>
      <c r="AH183" s="108"/>
      <c r="AI183" s="108"/>
      <c r="AJ183" s="108"/>
      <c r="AK183" s="108"/>
      <c r="AL183" s="108"/>
    </row>
    <row r="184" spans="2:38" ht="6" customHeight="1" x14ac:dyDescent="0.25">
      <c r="B184" s="75"/>
      <c r="C184" s="157"/>
      <c r="D184" s="650"/>
      <c r="E184" s="75"/>
      <c r="F184" s="125"/>
      <c r="G184" s="132"/>
      <c r="H184" s="108"/>
      <c r="M184" s="45"/>
      <c r="N184" s="138"/>
      <c r="O184" s="105"/>
      <c r="P184" s="132"/>
      <c r="Q184" s="108"/>
      <c r="T184" s="130"/>
      <c r="U184" s="108"/>
      <c r="V184" s="45"/>
      <c r="W184" s="138"/>
      <c r="X184" s="105"/>
      <c r="Y184" s="132"/>
      <c r="AE184" s="108"/>
      <c r="AF184" s="108"/>
      <c r="AG184" s="108"/>
      <c r="AH184" s="108"/>
      <c r="AI184" s="108"/>
      <c r="AJ184" s="108"/>
      <c r="AK184" s="108"/>
      <c r="AL184" s="108"/>
    </row>
    <row r="185" spans="2:38" ht="18.75" customHeight="1" x14ac:dyDescent="0.25">
      <c r="B185" s="54"/>
      <c r="C185" s="730" t="s">
        <v>106</v>
      </c>
      <c r="D185" s="730"/>
      <c r="E185" s="730"/>
      <c r="F185" s="26"/>
      <c r="G185" s="43"/>
      <c r="H185" s="73"/>
      <c r="M185" s="45"/>
      <c r="N185" s="138"/>
      <c r="O185" s="105"/>
      <c r="P185" s="132"/>
      <c r="Q185" s="108"/>
      <c r="T185" s="130"/>
      <c r="U185" s="108"/>
      <c r="V185" s="45"/>
      <c r="W185" s="138"/>
      <c r="X185" s="105"/>
      <c r="Y185" s="132"/>
      <c r="AE185" s="108"/>
      <c r="AF185" s="108"/>
      <c r="AG185" s="108"/>
      <c r="AH185" s="108"/>
      <c r="AI185" s="108"/>
      <c r="AJ185" s="108"/>
      <c r="AK185" s="108"/>
      <c r="AL185" s="108"/>
    </row>
    <row r="186" spans="2:38" ht="15.75" x14ac:dyDescent="0.25">
      <c r="B186" s="26"/>
      <c r="C186" s="91" t="s">
        <v>392</v>
      </c>
      <c r="D186" s="644"/>
      <c r="E186" s="94" t="s">
        <v>757</v>
      </c>
      <c r="F186" s="26"/>
      <c r="G186" s="26"/>
      <c r="H186" s="73"/>
      <c r="M186" s="45"/>
      <c r="N186" s="138"/>
      <c r="O186" s="105"/>
      <c r="P186" s="132"/>
      <c r="Q186" s="108"/>
      <c r="T186" s="130"/>
      <c r="U186" s="108"/>
      <c r="V186" s="45"/>
      <c r="W186" s="138"/>
      <c r="X186" s="105"/>
      <c r="Y186" s="132"/>
      <c r="AE186" s="108"/>
      <c r="AF186" s="108"/>
      <c r="AG186" s="108"/>
      <c r="AH186" s="108"/>
      <c r="AI186" s="108"/>
      <c r="AJ186" s="108"/>
      <c r="AK186" s="108"/>
      <c r="AL186" s="108"/>
    </row>
    <row r="187" spans="2:38" x14ac:dyDescent="0.25">
      <c r="B187" s="73"/>
      <c r="C187" s="91" t="s">
        <v>134</v>
      </c>
      <c r="D187" s="670"/>
      <c r="E187" s="25"/>
      <c r="F187" s="26"/>
      <c r="G187" s="26"/>
      <c r="H187" s="73"/>
      <c r="K187" s="106"/>
      <c r="M187" s="108"/>
      <c r="N187" s="108"/>
      <c r="O187" s="108"/>
      <c r="P187" s="108"/>
      <c r="Q187" s="108"/>
      <c r="AE187" s="108"/>
      <c r="AF187" s="108"/>
      <c r="AG187" s="108"/>
      <c r="AH187" s="108"/>
      <c r="AI187" s="108"/>
      <c r="AJ187" s="108"/>
      <c r="AK187" s="108"/>
      <c r="AL187" s="108"/>
    </row>
    <row r="188" spans="2:38" x14ac:dyDescent="0.25">
      <c r="B188" s="26"/>
      <c r="C188" s="91" t="s">
        <v>257</v>
      </c>
      <c r="D188" s="644"/>
      <c r="E188" s="94" t="s">
        <v>190</v>
      </c>
      <c r="F188" s="26"/>
      <c r="G188" s="26"/>
      <c r="H188" s="73"/>
      <c r="AE188" s="108"/>
      <c r="AF188" s="108"/>
      <c r="AG188" s="108"/>
      <c r="AH188" s="108"/>
      <c r="AI188" s="108"/>
      <c r="AJ188" s="108"/>
      <c r="AK188" s="108"/>
      <c r="AL188" s="108"/>
    </row>
    <row r="189" spans="2:38" ht="6" customHeight="1" x14ac:dyDescent="0.25">
      <c r="B189" s="156"/>
      <c r="C189" s="157"/>
      <c r="D189" s="53"/>
      <c r="E189" s="138"/>
      <c r="F189" s="125"/>
      <c r="G189" s="105"/>
      <c r="K189" s="137"/>
      <c r="M189" s="45"/>
      <c r="N189" s="138"/>
      <c r="O189" s="105"/>
      <c r="P189" s="132"/>
      <c r="Q189" s="108"/>
      <c r="T189" s="139"/>
      <c r="U189" s="108"/>
      <c r="V189" s="45"/>
      <c r="W189" s="138"/>
      <c r="X189" s="105"/>
      <c r="Y189" s="132"/>
      <c r="AE189" s="108"/>
      <c r="AF189" s="108"/>
      <c r="AG189" s="108"/>
      <c r="AH189" s="108"/>
      <c r="AI189" s="108"/>
      <c r="AJ189" s="108"/>
      <c r="AK189" s="108"/>
      <c r="AL189" s="108"/>
    </row>
    <row r="190" spans="2:38" ht="15.75" x14ac:dyDescent="0.25">
      <c r="B190" s="54"/>
      <c r="C190" s="733" t="s">
        <v>347</v>
      </c>
      <c r="D190" s="733"/>
      <c r="E190" s="733"/>
      <c r="F190" s="26"/>
      <c r="G190" s="43"/>
      <c r="H190" s="73"/>
      <c r="K190" s="137"/>
      <c r="M190" s="45"/>
      <c r="N190" s="138"/>
      <c r="O190" s="105"/>
      <c r="P190" s="132"/>
      <c r="Q190" s="108"/>
      <c r="T190" s="139"/>
      <c r="U190" s="108"/>
      <c r="V190" s="45"/>
      <c r="W190" s="138"/>
      <c r="X190" s="105"/>
      <c r="Y190" s="132"/>
      <c r="AE190" s="108"/>
      <c r="AF190" s="108"/>
      <c r="AG190" s="108"/>
      <c r="AH190" s="108"/>
      <c r="AI190" s="108"/>
      <c r="AJ190" s="108"/>
      <c r="AK190" s="108"/>
      <c r="AL190" s="108"/>
    </row>
    <row r="191" spans="2:38" ht="15.75" x14ac:dyDescent="0.25">
      <c r="B191" s="26"/>
      <c r="C191" s="91" t="s">
        <v>392</v>
      </c>
      <c r="D191" s="644"/>
      <c r="E191" s="94" t="s">
        <v>757</v>
      </c>
      <c r="F191" s="26"/>
      <c r="G191" s="26"/>
      <c r="H191" s="73"/>
      <c r="K191" s="102"/>
      <c r="M191" s="45"/>
      <c r="N191" s="138"/>
      <c r="O191" s="105"/>
      <c r="P191" s="132"/>
      <c r="Q191" s="108"/>
      <c r="T191" s="130"/>
      <c r="U191" s="108"/>
      <c r="V191" s="45"/>
      <c r="W191" s="138"/>
      <c r="X191" s="105"/>
      <c r="Y191" s="132"/>
      <c r="AE191" s="108"/>
      <c r="AF191" s="108"/>
      <c r="AG191" s="108"/>
      <c r="AH191" s="108"/>
      <c r="AI191" s="108"/>
      <c r="AJ191" s="108"/>
      <c r="AK191" s="108"/>
      <c r="AL191" s="108"/>
    </row>
    <row r="192" spans="2:38" ht="15.75" x14ac:dyDescent="0.25">
      <c r="B192" s="73"/>
      <c r="C192" s="91" t="s">
        <v>134</v>
      </c>
      <c r="D192" s="670"/>
      <c r="E192" s="25"/>
      <c r="F192" s="26"/>
      <c r="G192" s="26"/>
      <c r="H192" s="73"/>
      <c r="K192" s="102"/>
      <c r="M192" s="45"/>
      <c r="N192" s="138"/>
      <c r="O192" s="105"/>
      <c r="P192" s="132"/>
      <c r="Q192" s="108"/>
      <c r="T192" s="130"/>
      <c r="U192" s="108"/>
      <c r="V192" s="45"/>
      <c r="W192" s="138"/>
      <c r="X192" s="105"/>
      <c r="Y192" s="132"/>
      <c r="AE192" s="108"/>
      <c r="AF192" s="108"/>
      <c r="AG192" s="108"/>
      <c r="AH192" s="108"/>
      <c r="AI192" s="108"/>
      <c r="AJ192" s="108"/>
      <c r="AK192" s="108"/>
      <c r="AL192" s="108"/>
    </row>
    <row r="193" spans="2:38" ht="15.75" x14ac:dyDescent="0.25">
      <c r="B193" s="26"/>
      <c r="C193" s="91" t="s">
        <v>257</v>
      </c>
      <c r="D193" s="644"/>
      <c r="E193" s="94" t="s">
        <v>190</v>
      </c>
      <c r="F193" s="26"/>
      <c r="G193" s="26"/>
      <c r="H193" s="73"/>
      <c r="M193" s="45"/>
      <c r="N193" s="138"/>
      <c r="O193" s="105"/>
      <c r="P193" s="132"/>
      <c r="Q193" s="108"/>
      <c r="T193" s="130"/>
      <c r="U193" s="108"/>
      <c r="V193" s="45"/>
      <c r="W193" s="138"/>
      <c r="X193" s="105"/>
      <c r="Y193" s="132"/>
      <c r="AE193" s="108"/>
      <c r="AF193" s="108"/>
      <c r="AG193" s="108"/>
      <c r="AH193" s="108"/>
      <c r="AI193" s="108"/>
      <c r="AJ193" s="108"/>
      <c r="AK193" s="108"/>
      <c r="AL193" s="108"/>
    </row>
    <row r="194" spans="2:38" ht="6" customHeight="1" x14ac:dyDescent="0.25">
      <c r="B194" s="75"/>
      <c r="C194" s="157"/>
      <c r="D194" s="53"/>
      <c r="E194" s="75"/>
      <c r="F194" s="125"/>
      <c r="G194" s="132"/>
      <c r="H194" s="108"/>
      <c r="M194" s="45"/>
      <c r="N194" s="138"/>
      <c r="O194" s="105"/>
      <c r="P194" s="132"/>
      <c r="Q194" s="108"/>
      <c r="T194" s="130"/>
      <c r="U194" s="108"/>
      <c r="V194" s="45"/>
      <c r="W194" s="138"/>
      <c r="X194" s="105"/>
      <c r="Y194" s="132"/>
      <c r="AE194" s="108"/>
      <c r="AF194" s="108"/>
      <c r="AG194" s="108"/>
      <c r="AH194" s="108"/>
      <c r="AI194" s="108"/>
      <c r="AJ194" s="108"/>
      <c r="AK194" s="108"/>
      <c r="AL194" s="108"/>
    </row>
    <row r="195" spans="2:38" ht="18.75" customHeight="1" x14ac:dyDescent="0.25">
      <c r="B195" s="54"/>
      <c r="C195" s="730" t="s">
        <v>466</v>
      </c>
      <c r="D195" s="730"/>
      <c r="E195" s="730"/>
      <c r="F195" s="26"/>
      <c r="G195" s="43"/>
      <c r="H195" s="73"/>
      <c r="M195" s="45"/>
      <c r="N195" s="138"/>
      <c r="O195" s="105"/>
      <c r="P195" s="132"/>
      <c r="Q195" s="108"/>
      <c r="T195" s="130"/>
      <c r="U195" s="108"/>
      <c r="V195" s="45"/>
      <c r="W195" s="138"/>
      <c r="X195" s="105"/>
      <c r="Y195" s="132"/>
      <c r="AE195" s="108"/>
      <c r="AF195" s="108"/>
      <c r="AG195" s="108"/>
      <c r="AH195" s="108"/>
      <c r="AI195" s="108"/>
      <c r="AJ195" s="108"/>
      <c r="AK195" s="108"/>
      <c r="AL195" s="108"/>
    </row>
    <row r="196" spans="2:38" ht="15.75" x14ac:dyDescent="0.25">
      <c r="B196" s="26"/>
      <c r="C196" s="91" t="s">
        <v>392</v>
      </c>
      <c r="D196" s="644"/>
      <c r="E196" s="94" t="s">
        <v>757</v>
      </c>
      <c r="F196" s="26"/>
      <c r="G196" s="26"/>
      <c r="H196" s="73"/>
      <c r="M196" s="45"/>
      <c r="N196" s="138"/>
      <c r="O196" s="105"/>
      <c r="P196" s="132"/>
      <c r="Q196" s="108"/>
      <c r="T196" s="130"/>
      <c r="U196" s="108"/>
      <c r="V196" s="45"/>
      <c r="W196" s="138"/>
      <c r="X196" s="105"/>
      <c r="Y196" s="132"/>
      <c r="AE196" s="108"/>
      <c r="AF196" s="108"/>
      <c r="AG196" s="108"/>
      <c r="AH196" s="108"/>
      <c r="AI196" s="108"/>
      <c r="AJ196" s="108"/>
      <c r="AK196" s="108"/>
      <c r="AL196" s="108"/>
    </row>
    <row r="197" spans="2:38" x14ac:dyDescent="0.25">
      <c r="B197" s="73"/>
      <c r="C197" s="91" t="s">
        <v>134</v>
      </c>
      <c r="D197" s="670"/>
      <c r="E197" s="25"/>
      <c r="F197" s="26"/>
      <c r="G197" s="26"/>
      <c r="H197" s="73"/>
      <c r="K197" s="106"/>
      <c r="M197" s="108"/>
      <c r="N197" s="108"/>
      <c r="O197" s="108"/>
      <c r="P197" s="108"/>
      <c r="Q197" s="108"/>
      <c r="AE197" s="108"/>
      <c r="AF197" s="108"/>
      <c r="AG197" s="108"/>
      <c r="AH197" s="108"/>
      <c r="AI197" s="108"/>
      <c r="AJ197" s="108"/>
      <c r="AK197" s="108"/>
      <c r="AL197" s="108"/>
    </row>
    <row r="198" spans="2:38" x14ac:dyDescent="0.25">
      <c r="B198" s="26"/>
      <c r="C198" s="91" t="s">
        <v>257</v>
      </c>
      <c r="D198" s="644"/>
      <c r="E198" s="94" t="s">
        <v>190</v>
      </c>
      <c r="F198" s="26"/>
      <c r="G198" s="26"/>
      <c r="H198" s="73"/>
      <c r="AE198" s="108"/>
      <c r="AF198" s="108"/>
      <c r="AG198" s="108"/>
      <c r="AH198" s="108"/>
      <c r="AI198" s="108"/>
      <c r="AJ198" s="108"/>
      <c r="AK198" s="108"/>
      <c r="AL198" s="108"/>
    </row>
    <row r="199" spans="2:38" ht="6" customHeight="1" x14ac:dyDescent="0.25">
      <c r="D199" s="85"/>
      <c r="AE199" s="108"/>
      <c r="AF199" s="108"/>
      <c r="AG199" s="108"/>
      <c r="AH199" s="108"/>
      <c r="AI199" s="108"/>
      <c r="AJ199" s="108"/>
      <c r="AK199" s="108"/>
      <c r="AL199" s="108"/>
    </row>
    <row r="200" spans="2:38" ht="15" customHeight="1" x14ac:dyDescent="0.25">
      <c r="B200" s="25"/>
      <c r="C200" s="93" t="s">
        <v>845</v>
      </c>
      <c r="D200" s="644"/>
      <c r="E200" s="94" t="s">
        <v>883</v>
      </c>
      <c r="F200" s="27"/>
      <c r="G200" s="27"/>
      <c r="H200" s="73"/>
      <c r="AE200" s="108"/>
      <c r="AF200" s="108"/>
      <c r="AG200" s="108"/>
      <c r="AH200" s="108"/>
      <c r="AI200" s="108"/>
      <c r="AJ200" s="108"/>
      <c r="AK200" s="108"/>
      <c r="AL200" s="108"/>
    </row>
    <row r="201" spans="2:38" ht="15" customHeight="1" x14ac:dyDescent="0.25">
      <c r="B201" s="25"/>
      <c r="C201" s="93" t="s">
        <v>846</v>
      </c>
      <c r="D201" s="644"/>
      <c r="E201" s="94" t="s">
        <v>883</v>
      </c>
      <c r="F201" s="27"/>
      <c r="G201" s="27"/>
      <c r="H201" s="73"/>
      <c r="AE201" s="108"/>
      <c r="AF201" s="108"/>
      <c r="AG201" s="108"/>
      <c r="AH201" s="108"/>
      <c r="AI201" s="108"/>
      <c r="AJ201" s="108"/>
      <c r="AK201" s="108"/>
      <c r="AL201" s="108"/>
    </row>
    <row r="202" spans="2:38" ht="15" customHeight="1" x14ac:dyDescent="0.25">
      <c r="B202" s="25"/>
      <c r="C202" s="93" t="s">
        <v>847</v>
      </c>
      <c r="D202" s="644"/>
      <c r="E202" s="94" t="s">
        <v>883</v>
      </c>
      <c r="F202" s="27"/>
      <c r="G202" s="27"/>
      <c r="H202" s="73"/>
      <c r="AE202" s="108"/>
      <c r="AF202" s="108"/>
      <c r="AG202" s="108"/>
      <c r="AH202" s="108"/>
      <c r="AI202" s="108"/>
      <c r="AJ202" s="108"/>
      <c r="AK202" s="108"/>
      <c r="AL202" s="108"/>
    </row>
    <row r="203" spans="2:38" ht="15" customHeight="1" x14ac:dyDescent="0.25">
      <c r="B203" s="25"/>
      <c r="C203" s="93" t="s">
        <v>923</v>
      </c>
      <c r="D203" s="644"/>
      <c r="E203" s="94" t="s">
        <v>704</v>
      </c>
      <c r="F203" s="141" t="s">
        <v>924</v>
      </c>
      <c r="G203" s="646"/>
      <c r="H203" s="410" t="s">
        <v>709</v>
      </c>
      <c r="AE203" s="108"/>
      <c r="AF203" s="108"/>
      <c r="AG203" s="108"/>
      <c r="AH203" s="108"/>
      <c r="AI203" s="108"/>
      <c r="AJ203" s="108"/>
      <c r="AK203" s="108"/>
      <c r="AL203" s="108"/>
    </row>
    <row r="204" spans="2:38" ht="15" customHeight="1" x14ac:dyDescent="0.25">
      <c r="B204" s="25"/>
      <c r="C204" s="93" t="s">
        <v>922</v>
      </c>
      <c r="D204" s="644"/>
      <c r="E204" s="94" t="s">
        <v>704</v>
      </c>
      <c r="F204" s="141" t="s">
        <v>924</v>
      </c>
      <c r="G204" s="646"/>
      <c r="H204" s="410" t="s">
        <v>709</v>
      </c>
      <c r="AE204" s="108"/>
      <c r="AF204" s="108"/>
      <c r="AG204" s="108"/>
      <c r="AH204" s="108"/>
      <c r="AI204" s="108"/>
      <c r="AJ204" s="108"/>
      <c r="AK204" s="108"/>
      <c r="AL204" s="108"/>
    </row>
    <row r="205" spans="2:38" ht="15" customHeight="1" x14ac:dyDescent="0.25">
      <c r="B205" s="25"/>
      <c r="C205" s="93" t="s">
        <v>572</v>
      </c>
      <c r="D205" s="644"/>
      <c r="E205" s="94" t="s">
        <v>704</v>
      </c>
      <c r="F205" s="141"/>
      <c r="G205" s="612"/>
      <c r="H205" s="410"/>
      <c r="AE205" s="108"/>
      <c r="AF205" s="108"/>
      <c r="AG205" s="108"/>
      <c r="AH205" s="108"/>
      <c r="AI205" s="108"/>
      <c r="AJ205" s="108"/>
      <c r="AK205" s="108"/>
      <c r="AL205" s="108"/>
    </row>
    <row r="206" spans="2:38" ht="15" customHeight="1" x14ac:dyDescent="0.25">
      <c r="B206" s="25"/>
      <c r="C206" s="93" t="s">
        <v>366</v>
      </c>
      <c r="D206" s="644"/>
      <c r="E206" s="94" t="s">
        <v>883</v>
      </c>
      <c r="F206" s="141"/>
      <c r="G206" s="612"/>
      <c r="H206" s="410"/>
      <c r="AE206" s="108"/>
      <c r="AF206" s="108"/>
      <c r="AG206" s="108"/>
      <c r="AH206" s="108"/>
      <c r="AI206" s="108"/>
      <c r="AJ206" s="108"/>
      <c r="AK206" s="108"/>
      <c r="AL206" s="108"/>
    </row>
    <row r="207" spans="2:38" ht="15" customHeight="1" x14ac:dyDescent="0.25">
      <c r="B207" s="25"/>
      <c r="C207" s="93" t="s">
        <v>367</v>
      </c>
      <c r="D207" s="644"/>
      <c r="E207" s="94" t="s">
        <v>883</v>
      </c>
      <c r="F207" s="141"/>
      <c r="G207" s="612"/>
      <c r="H207" s="410"/>
      <c r="AE207" s="108"/>
      <c r="AF207" s="108"/>
      <c r="AG207" s="108"/>
      <c r="AH207" s="108"/>
      <c r="AI207" s="108"/>
      <c r="AJ207" s="108"/>
      <c r="AK207" s="108"/>
      <c r="AL207" s="108"/>
    </row>
    <row r="208" spans="2:38" ht="28.5" customHeight="1" x14ac:dyDescent="0.25">
      <c r="B208" s="25"/>
      <c r="C208" s="93" t="s">
        <v>368</v>
      </c>
      <c r="D208" s="644"/>
      <c r="E208" s="94" t="s">
        <v>883</v>
      </c>
      <c r="F208" s="613" t="s">
        <v>379</v>
      </c>
      <c r="G208" s="670"/>
      <c r="H208" s="410"/>
      <c r="AE208" s="108"/>
      <c r="AF208" s="108"/>
      <c r="AG208" s="108"/>
      <c r="AH208" s="108"/>
      <c r="AI208" s="108"/>
      <c r="AJ208" s="108"/>
      <c r="AK208" s="108"/>
      <c r="AL208" s="108"/>
    </row>
    <row r="209" spans="2:46" ht="15" customHeight="1" x14ac:dyDescent="0.25">
      <c r="B209" s="25"/>
      <c r="C209" s="93" t="s">
        <v>369</v>
      </c>
      <c r="D209" s="644"/>
      <c r="E209" s="94" t="s">
        <v>883</v>
      </c>
      <c r="F209" s="141"/>
      <c r="G209" s="612"/>
      <c r="H209" s="410"/>
      <c r="AE209" s="108"/>
      <c r="AF209" s="108"/>
      <c r="AG209" s="108"/>
      <c r="AH209" s="108"/>
      <c r="AI209" s="108"/>
      <c r="AJ209" s="108"/>
      <c r="AK209" s="108"/>
      <c r="AL209" s="108"/>
    </row>
    <row r="210" spans="2:46" ht="15" customHeight="1" x14ac:dyDescent="0.25">
      <c r="B210" s="25"/>
      <c r="C210" s="93" t="s">
        <v>370</v>
      </c>
      <c r="D210" s="644"/>
      <c r="E210" s="94" t="s">
        <v>883</v>
      </c>
      <c r="F210" s="141"/>
      <c r="G210" s="612"/>
      <c r="H210" s="410"/>
      <c r="AE210" s="108"/>
      <c r="AF210" s="108"/>
      <c r="AG210" s="108"/>
      <c r="AH210" s="108"/>
      <c r="AI210" s="108"/>
      <c r="AJ210" s="108"/>
      <c r="AK210" s="108"/>
      <c r="AL210" s="108"/>
    </row>
    <row r="211" spans="2:46" ht="15" customHeight="1" x14ac:dyDescent="0.25">
      <c r="B211" s="25"/>
      <c r="C211" s="93" t="s">
        <v>371</v>
      </c>
      <c r="D211" s="644"/>
      <c r="E211" s="94" t="s">
        <v>883</v>
      </c>
      <c r="F211" s="141"/>
      <c r="G211" s="612"/>
      <c r="H211" s="410"/>
      <c r="AE211" s="108"/>
      <c r="AF211" s="108"/>
      <c r="AG211" s="108"/>
      <c r="AH211" s="108"/>
      <c r="AI211" s="108"/>
      <c r="AJ211" s="108"/>
      <c r="AK211" s="108"/>
      <c r="AL211" s="108"/>
    </row>
    <row r="212" spans="2:46" ht="15" customHeight="1" x14ac:dyDescent="0.25">
      <c r="B212" s="25"/>
      <c r="C212" s="93" t="s">
        <v>376</v>
      </c>
      <c r="D212" s="644"/>
      <c r="E212" s="94" t="s">
        <v>713</v>
      </c>
      <c r="F212" s="27"/>
      <c r="G212" s="27"/>
      <c r="H212" s="73"/>
      <c r="AE212" s="108"/>
      <c r="AF212" s="108"/>
      <c r="AG212" s="108"/>
      <c r="AH212" s="108"/>
      <c r="AI212" s="108"/>
      <c r="AJ212" s="108"/>
      <c r="AK212" s="108"/>
      <c r="AL212" s="108"/>
    </row>
    <row r="213" spans="2:46" ht="15" customHeight="1" x14ac:dyDescent="0.25">
      <c r="B213" s="25"/>
      <c r="C213" s="93" t="s">
        <v>375</v>
      </c>
      <c r="D213" s="644"/>
      <c r="E213" s="94" t="s">
        <v>713</v>
      </c>
      <c r="F213" s="27"/>
      <c r="G213" s="27"/>
      <c r="H213" s="73"/>
      <c r="AE213" s="108"/>
      <c r="AF213" s="108"/>
      <c r="AG213" s="108"/>
      <c r="AH213" s="108"/>
      <c r="AI213" s="108"/>
      <c r="AJ213" s="108"/>
      <c r="AK213" s="108"/>
      <c r="AL213" s="108"/>
    </row>
    <row r="214" spans="2:46" ht="15" customHeight="1" x14ac:dyDescent="0.25">
      <c r="B214" s="25"/>
      <c r="C214" s="93" t="s">
        <v>372</v>
      </c>
      <c r="D214" s="644"/>
      <c r="E214" s="94" t="s">
        <v>713</v>
      </c>
      <c r="F214" s="27"/>
      <c r="G214" s="39"/>
      <c r="H214" s="73"/>
      <c r="AE214" s="108"/>
      <c r="AF214" s="108"/>
      <c r="AG214" s="108"/>
      <c r="AH214" s="108"/>
      <c r="AI214" s="108"/>
      <c r="AJ214" s="108"/>
      <c r="AK214" s="108"/>
      <c r="AL214" s="108"/>
    </row>
    <row r="215" spans="2:46" ht="15" customHeight="1" x14ac:dyDescent="0.25">
      <c r="B215" s="25"/>
      <c r="C215" s="93" t="s">
        <v>373</v>
      </c>
      <c r="D215" s="644"/>
      <c r="E215" s="94" t="s">
        <v>713</v>
      </c>
      <c r="F215" s="27"/>
      <c r="G215" s="39"/>
      <c r="H215" s="73"/>
      <c r="AE215" s="108"/>
      <c r="AF215" s="108"/>
      <c r="AG215" s="108"/>
      <c r="AH215" s="108"/>
      <c r="AI215" s="108"/>
      <c r="AJ215" s="108"/>
      <c r="AK215" s="108"/>
      <c r="AL215" s="108"/>
    </row>
    <row r="216" spans="2:46" ht="15" customHeight="1" x14ac:dyDescent="0.25">
      <c r="B216" s="25"/>
      <c r="C216" s="93" t="s">
        <v>374</v>
      </c>
      <c r="D216" s="644"/>
      <c r="E216" s="94" t="s">
        <v>713</v>
      </c>
      <c r="F216" s="27"/>
      <c r="G216" s="39"/>
      <c r="H216" s="73"/>
      <c r="AE216" s="108"/>
      <c r="AF216" s="108"/>
      <c r="AG216" s="108"/>
      <c r="AH216" s="108"/>
      <c r="AI216" s="108"/>
      <c r="AJ216" s="108"/>
      <c r="AK216" s="108"/>
      <c r="AL216" s="108"/>
    </row>
    <row r="217" spans="2:46" ht="6" customHeight="1" x14ac:dyDescent="0.25">
      <c r="B217" s="25"/>
      <c r="C217" s="25"/>
      <c r="D217" s="25"/>
      <c r="E217" s="25"/>
      <c r="F217" s="25"/>
      <c r="G217" s="25"/>
      <c r="H217" s="25"/>
      <c r="AE217" s="108"/>
      <c r="AF217" s="108"/>
      <c r="AG217" s="108"/>
      <c r="AH217" s="108"/>
      <c r="AI217" s="108"/>
      <c r="AJ217" s="108"/>
      <c r="AK217" s="108"/>
      <c r="AL217" s="108"/>
      <c r="AN217" s="108"/>
      <c r="AO217" s="108"/>
      <c r="AP217" s="108"/>
      <c r="AQ217" s="108"/>
      <c r="AR217" s="108"/>
      <c r="AS217" s="108"/>
      <c r="AT217" s="108"/>
    </row>
    <row r="218" spans="2:46" x14ac:dyDescent="0.25">
      <c r="D218" s="85"/>
      <c r="AE218" s="108"/>
      <c r="AF218" s="108"/>
      <c r="AG218" s="108"/>
      <c r="AH218" s="108"/>
      <c r="AI218" s="108"/>
      <c r="AJ218" s="108"/>
      <c r="AK218" s="108"/>
      <c r="AL218" s="108"/>
    </row>
    <row r="219" spans="2:46" ht="18.75" x14ac:dyDescent="0.25">
      <c r="B219" s="732" t="s">
        <v>961</v>
      </c>
      <c r="C219" s="732"/>
      <c r="D219" s="732"/>
      <c r="E219" s="732"/>
      <c r="F219" s="732"/>
      <c r="G219" s="732"/>
      <c r="H219" s="732"/>
      <c r="AE219" s="108"/>
      <c r="AF219" s="108"/>
      <c r="AG219" s="108"/>
      <c r="AH219" s="108"/>
      <c r="AI219" s="108"/>
      <c r="AJ219" s="108"/>
      <c r="AK219" s="108"/>
      <c r="AL219" s="108"/>
    </row>
    <row r="220" spans="2:46" ht="6" customHeight="1" x14ac:dyDescent="0.25">
      <c r="B220" s="149"/>
      <c r="C220" s="149"/>
      <c r="D220" s="149"/>
      <c r="E220" s="149"/>
      <c r="F220" s="149"/>
      <c r="G220" s="149"/>
      <c r="AE220" s="108"/>
      <c r="AF220" s="108"/>
      <c r="AG220" s="108"/>
      <c r="AH220" s="108"/>
      <c r="AI220" s="108"/>
      <c r="AJ220" s="108"/>
      <c r="AK220" s="108"/>
      <c r="AL220" s="108"/>
    </row>
    <row r="221" spans="2:46" x14ac:dyDescent="0.25">
      <c r="B221" s="54"/>
      <c r="C221" s="730" t="s">
        <v>45</v>
      </c>
      <c r="D221" s="730"/>
      <c r="E221" s="730"/>
      <c r="F221" s="26"/>
      <c r="G221" s="43"/>
      <c r="H221" s="73"/>
    </row>
    <row r="222" spans="2:46" x14ac:dyDescent="0.25">
      <c r="B222" s="26"/>
      <c r="C222" s="91" t="s">
        <v>278</v>
      </c>
      <c r="D222" s="670">
        <v>1</v>
      </c>
      <c r="E222" s="659"/>
      <c r="F222" s="26"/>
      <c r="G222" s="26"/>
      <c r="H222" s="73"/>
    </row>
    <row r="223" spans="2:46" x14ac:dyDescent="0.25">
      <c r="B223" s="26"/>
      <c r="C223" s="91" t="s">
        <v>714</v>
      </c>
      <c r="D223" s="670">
        <v>0</v>
      </c>
      <c r="E223" s="659" t="str">
        <f>IF((SUM(D222:D224)=1),"","A soma das porcentagens de distribuição deve ser igual a 100%!")</f>
        <v/>
      </c>
      <c r="F223" s="26"/>
      <c r="G223" s="26"/>
      <c r="H223" s="73"/>
    </row>
    <row r="224" spans="2:46" x14ac:dyDescent="0.25">
      <c r="B224" s="26"/>
      <c r="C224" s="91" t="s">
        <v>894</v>
      </c>
      <c r="D224" s="670">
        <v>0</v>
      </c>
      <c r="E224" s="25"/>
      <c r="F224" s="26"/>
      <c r="G224" s="26"/>
      <c r="H224" s="73"/>
    </row>
    <row r="225" spans="2:8" ht="6" customHeight="1" x14ac:dyDescent="0.25">
      <c r="B225" s="26"/>
      <c r="C225" s="26"/>
      <c r="D225" s="25"/>
      <c r="E225" s="25"/>
      <c r="F225" s="26"/>
      <c r="G225" s="26"/>
      <c r="H225" s="73"/>
    </row>
    <row r="226" spans="2:8" ht="6" customHeight="1" x14ac:dyDescent="0.25">
      <c r="B226" s="156"/>
      <c r="C226" s="735"/>
      <c r="D226" s="735"/>
      <c r="E226" s="735"/>
      <c r="F226" s="125"/>
      <c r="G226" s="105"/>
    </row>
    <row r="227" spans="2:8" x14ac:dyDescent="0.25">
      <c r="B227" s="54"/>
      <c r="C227" s="730" t="s">
        <v>46</v>
      </c>
      <c r="D227" s="730"/>
      <c r="E227" s="730"/>
      <c r="F227" s="26"/>
      <c r="G227" s="43"/>
      <c r="H227" s="73"/>
    </row>
    <row r="228" spans="2:8" x14ac:dyDescent="0.25">
      <c r="B228" s="26"/>
      <c r="C228" s="91" t="s">
        <v>278</v>
      </c>
      <c r="D228" s="638">
        <v>1</v>
      </c>
      <c r="E228" s="659"/>
      <c r="F228" s="26"/>
      <c r="G228" s="26"/>
      <c r="H228" s="73"/>
    </row>
    <row r="229" spans="2:8" x14ac:dyDescent="0.25">
      <c r="B229" s="26"/>
      <c r="C229" s="91" t="s">
        <v>714</v>
      </c>
      <c r="D229" s="638">
        <v>0</v>
      </c>
      <c r="E229" s="659" t="str">
        <f>IF((SUM(D228:D230)=1),"","A soma das porcentagens de distribuição deve ser igual a 100%!")</f>
        <v/>
      </c>
      <c r="F229" s="26"/>
      <c r="G229" s="26"/>
      <c r="H229" s="73"/>
    </row>
    <row r="230" spans="2:8" x14ac:dyDescent="0.25">
      <c r="B230" s="26"/>
      <c r="C230" s="91" t="s">
        <v>894</v>
      </c>
      <c r="D230" s="638">
        <v>0</v>
      </c>
      <c r="E230" s="25"/>
      <c r="F230" s="26"/>
      <c r="G230" s="26"/>
      <c r="H230" s="73"/>
    </row>
    <row r="231" spans="2:8" ht="6" customHeight="1" x14ac:dyDescent="0.25">
      <c r="B231" s="26"/>
      <c r="C231" s="26"/>
      <c r="D231" s="25"/>
      <c r="E231" s="25"/>
      <c r="F231" s="26"/>
      <c r="G231" s="26"/>
      <c r="H231" s="73"/>
    </row>
    <row r="236" spans="2:8" x14ac:dyDescent="0.25">
      <c r="D236" s="85"/>
    </row>
    <row r="237" spans="2:8" x14ac:dyDescent="0.25">
      <c r="D237" s="85"/>
    </row>
    <row r="238" spans="2:8" x14ac:dyDescent="0.25">
      <c r="D238" s="85"/>
    </row>
    <row r="239" spans="2:8" x14ac:dyDescent="0.25">
      <c r="D239" s="85"/>
    </row>
    <row r="240" spans="2:8" x14ac:dyDescent="0.25">
      <c r="D240" s="85"/>
    </row>
    <row r="241" spans="4:4" x14ac:dyDescent="0.25">
      <c r="D241" s="85"/>
    </row>
    <row r="242" spans="4:4" x14ac:dyDescent="0.25">
      <c r="D242" s="85"/>
    </row>
    <row r="243" spans="4:4" x14ac:dyDescent="0.25">
      <c r="D243" s="85"/>
    </row>
    <row r="244" spans="4:4" x14ac:dyDescent="0.25">
      <c r="D244" s="85"/>
    </row>
    <row r="245" spans="4:4" x14ac:dyDescent="0.25">
      <c r="D245" s="85"/>
    </row>
    <row r="246" spans="4:4" x14ac:dyDescent="0.25">
      <c r="D246" s="85"/>
    </row>
    <row r="247" spans="4:4" x14ac:dyDescent="0.25">
      <c r="D247" s="85"/>
    </row>
    <row r="248" spans="4:4" x14ac:dyDescent="0.25">
      <c r="D248" s="85"/>
    </row>
    <row r="249" spans="4:4" x14ac:dyDescent="0.25">
      <c r="D249" s="85"/>
    </row>
    <row r="250" spans="4:4" x14ac:dyDescent="0.25">
      <c r="D250" s="85"/>
    </row>
    <row r="251" spans="4:4" x14ac:dyDescent="0.25">
      <c r="D251" s="85"/>
    </row>
    <row r="252" spans="4:4" x14ac:dyDescent="0.25">
      <c r="D252" s="85"/>
    </row>
    <row r="253" spans="4:4" x14ac:dyDescent="0.25">
      <c r="D253" s="85"/>
    </row>
    <row r="254" spans="4:4" x14ac:dyDescent="0.25">
      <c r="D254" s="85"/>
    </row>
    <row r="255" spans="4:4" x14ac:dyDescent="0.25">
      <c r="D255" s="85"/>
    </row>
    <row r="256" spans="4:4" x14ac:dyDescent="0.25">
      <c r="D256" s="85"/>
    </row>
    <row r="257" spans="4:4" x14ac:dyDescent="0.25">
      <c r="D257" s="85"/>
    </row>
    <row r="258" spans="4:4" x14ac:dyDescent="0.25">
      <c r="D258" s="85"/>
    </row>
    <row r="259" spans="4:4" x14ac:dyDescent="0.25">
      <c r="D259" s="85"/>
    </row>
    <row r="260" spans="4:4" x14ac:dyDescent="0.25">
      <c r="D260" s="85"/>
    </row>
    <row r="261" spans="4:4" x14ac:dyDescent="0.25">
      <c r="D261" s="85"/>
    </row>
    <row r="262" spans="4:4" x14ac:dyDescent="0.25">
      <c r="D262" s="85"/>
    </row>
    <row r="263" spans="4:4" x14ac:dyDescent="0.25">
      <c r="D263" s="85"/>
    </row>
    <row r="264" spans="4:4" x14ac:dyDescent="0.25">
      <c r="D264" s="85"/>
    </row>
    <row r="265" spans="4:4" x14ac:dyDescent="0.25">
      <c r="D265" s="85"/>
    </row>
    <row r="266" spans="4:4" x14ac:dyDescent="0.25">
      <c r="D266" s="85"/>
    </row>
    <row r="267" spans="4:4" x14ac:dyDescent="0.25">
      <c r="D267" s="85"/>
    </row>
    <row r="268" spans="4:4" x14ac:dyDescent="0.25">
      <c r="D268" s="85"/>
    </row>
    <row r="269" spans="4:4" x14ac:dyDescent="0.25">
      <c r="D269" s="85"/>
    </row>
    <row r="270" spans="4:4" x14ac:dyDescent="0.25">
      <c r="D270" s="85"/>
    </row>
    <row r="271" spans="4:4" x14ac:dyDescent="0.25">
      <c r="D271" s="85"/>
    </row>
    <row r="272" spans="4:4" x14ac:dyDescent="0.25">
      <c r="D272" s="85"/>
    </row>
    <row r="273" spans="4:4" x14ac:dyDescent="0.25">
      <c r="D273" s="85"/>
    </row>
    <row r="274" spans="4:4" x14ac:dyDescent="0.25">
      <c r="D274" s="85"/>
    </row>
    <row r="275" spans="4:4" x14ac:dyDescent="0.25">
      <c r="D275" s="85"/>
    </row>
    <row r="276" spans="4:4" x14ac:dyDescent="0.25">
      <c r="D276" s="85"/>
    </row>
    <row r="277" spans="4:4" x14ac:dyDescent="0.25">
      <c r="D277" s="85"/>
    </row>
    <row r="278" spans="4:4" x14ac:dyDescent="0.25">
      <c r="D278" s="85"/>
    </row>
    <row r="279" spans="4:4" x14ac:dyDescent="0.25">
      <c r="D279" s="85"/>
    </row>
    <row r="280" spans="4:4" x14ac:dyDescent="0.25">
      <c r="D280" s="85"/>
    </row>
    <row r="281" spans="4:4" x14ac:dyDescent="0.25">
      <c r="D281" s="85"/>
    </row>
    <row r="282" spans="4:4" x14ac:dyDescent="0.25">
      <c r="D282" s="85"/>
    </row>
    <row r="283" spans="4:4" x14ac:dyDescent="0.25">
      <c r="D283" s="85"/>
    </row>
    <row r="284" spans="4:4" x14ac:dyDescent="0.25">
      <c r="D284" s="85"/>
    </row>
    <row r="285" spans="4:4" x14ac:dyDescent="0.25">
      <c r="D285" s="85"/>
    </row>
    <row r="286" spans="4:4" x14ac:dyDescent="0.25">
      <c r="D286" s="85"/>
    </row>
    <row r="287" spans="4:4" x14ac:dyDescent="0.25">
      <c r="D287" s="85"/>
    </row>
    <row r="288" spans="4:4" x14ac:dyDescent="0.25">
      <c r="D288" s="85"/>
    </row>
    <row r="289" spans="4:4" x14ac:dyDescent="0.25">
      <c r="D289" s="85"/>
    </row>
    <row r="290" spans="4:4" x14ac:dyDescent="0.25">
      <c r="D290" s="85"/>
    </row>
    <row r="291" spans="4:4" x14ac:dyDescent="0.25">
      <c r="D291" s="85"/>
    </row>
    <row r="292" spans="4:4" x14ac:dyDescent="0.25">
      <c r="D292" s="85"/>
    </row>
    <row r="293" spans="4:4" x14ac:dyDescent="0.25">
      <c r="D293" s="85"/>
    </row>
    <row r="294" spans="4:4" x14ac:dyDescent="0.25">
      <c r="D294" s="85"/>
    </row>
    <row r="295" spans="4:4" x14ac:dyDescent="0.25">
      <c r="D295" s="85"/>
    </row>
    <row r="296" spans="4:4" x14ac:dyDescent="0.25">
      <c r="D296" s="85"/>
    </row>
    <row r="297" spans="4:4" x14ac:dyDescent="0.25">
      <c r="D297" s="85"/>
    </row>
    <row r="298" spans="4:4" x14ac:dyDescent="0.25">
      <c r="D298" s="85"/>
    </row>
    <row r="299" spans="4:4" x14ac:dyDescent="0.25">
      <c r="D299" s="85"/>
    </row>
    <row r="300" spans="4:4" x14ac:dyDescent="0.25">
      <c r="D300" s="85"/>
    </row>
    <row r="301" spans="4:4" x14ac:dyDescent="0.25">
      <c r="D301" s="85"/>
    </row>
    <row r="302" spans="4:4" x14ac:dyDescent="0.25">
      <c r="D302" s="85"/>
    </row>
    <row r="303" spans="4:4" x14ac:dyDescent="0.25">
      <c r="D303" s="85"/>
    </row>
    <row r="304" spans="4:4" x14ac:dyDescent="0.25">
      <c r="D304" s="85"/>
    </row>
    <row r="305" spans="4:4" x14ac:dyDescent="0.25">
      <c r="D305" s="85"/>
    </row>
    <row r="306" spans="4:4" x14ac:dyDescent="0.25">
      <c r="D306" s="85"/>
    </row>
    <row r="307" spans="4:4" x14ac:dyDescent="0.25">
      <c r="D307" s="85"/>
    </row>
    <row r="308" spans="4:4" x14ac:dyDescent="0.25">
      <c r="D308" s="85"/>
    </row>
    <row r="309" spans="4:4" x14ac:dyDescent="0.25">
      <c r="D309" s="85"/>
    </row>
    <row r="310" spans="4:4" x14ac:dyDescent="0.25">
      <c r="D310" s="85"/>
    </row>
    <row r="311" spans="4:4" x14ac:dyDescent="0.25">
      <c r="D311" s="85"/>
    </row>
    <row r="312" spans="4:4" x14ac:dyDescent="0.25">
      <c r="D312" s="85"/>
    </row>
    <row r="313" spans="4:4" x14ac:dyDescent="0.25">
      <c r="D313" s="85"/>
    </row>
    <row r="314" spans="4:4" x14ac:dyDescent="0.25">
      <c r="D314" s="85"/>
    </row>
    <row r="315" spans="4:4" x14ac:dyDescent="0.25">
      <c r="D315" s="85"/>
    </row>
    <row r="316" spans="4:4" x14ac:dyDescent="0.25">
      <c r="D316" s="85"/>
    </row>
    <row r="317" spans="4:4" x14ac:dyDescent="0.25">
      <c r="D317" s="85"/>
    </row>
    <row r="318" spans="4:4" x14ac:dyDescent="0.25">
      <c r="D318" s="85"/>
    </row>
    <row r="319" spans="4:4" x14ac:dyDescent="0.25">
      <c r="D319" s="85"/>
    </row>
    <row r="320" spans="4:4" x14ac:dyDescent="0.25">
      <c r="D320" s="85"/>
    </row>
    <row r="321" spans="4:4" x14ac:dyDescent="0.25">
      <c r="D321" s="85"/>
    </row>
    <row r="322" spans="4:4" x14ac:dyDescent="0.25">
      <c r="D322" s="85"/>
    </row>
    <row r="323" spans="4:4" x14ac:dyDescent="0.25">
      <c r="D323" s="85"/>
    </row>
    <row r="324" spans="4:4" x14ac:dyDescent="0.25">
      <c r="D324" s="85"/>
    </row>
    <row r="325" spans="4:4" x14ac:dyDescent="0.25">
      <c r="D325" s="85"/>
    </row>
    <row r="326" spans="4:4" x14ac:dyDescent="0.25">
      <c r="D326" s="85"/>
    </row>
    <row r="327" spans="4:4" x14ac:dyDescent="0.25">
      <c r="D327" s="85"/>
    </row>
    <row r="328" spans="4:4" x14ac:dyDescent="0.25">
      <c r="D328" s="85"/>
    </row>
    <row r="329" spans="4:4" x14ac:dyDescent="0.25">
      <c r="D329" s="85"/>
    </row>
    <row r="330" spans="4:4" x14ac:dyDescent="0.25">
      <c r="D330" s="85"/>
    </row>
    <row r="331" spans="4:4" x14ac:dyDescent="0.25">
      <c r="D331" s="85"/>
    </row>
    <row r="332" spans="4:4" x14ac:dyDescent="0.25">
      <c r="D332" s="85"/>
    </row>
    <row r="333" spans="4:4" x14ac:dyDescent="0.25">
      <c r="D333" s="85"/>
    </row>
    <row r="334" spans="4:4" x14ac:dyDescent="0.25">
      <c r="D334" s="85"/>
    </row>
    <row r="335" spans="4:4" x14ac:dyDescent="0.25">
      <c r="D335" s="85"/>
    </row>
    <row r="336" spans="4:4" x14ac:dyDescent="0.25">
      <c r="D336" s="85"/>
    </row>
    <row r="337" spans="4:4" x14ac:dyDescent="0.25">
      <c r="D337" s="85"/>
    </row>
    <row r="338" spans="4:4" x14ac:dyDescent="0.25">
      <c r="D338" s="85"/>
    </row>
    <row r="339" spans="4:4" x14ac:dyDescent="0.25">
      <c r="D339" s="85"/>
    </row>
    <row r="340" spans="4:4" x14ac:dyDescent="0.25">
      <c r="D340" s="85"/>
    </row>
    <row r="341" spans="4:4" x14ac:dyDescent="0.25">
      <c r="D341" s="85"/>
    </row>
    <row r="342" spans="4:4" x14ac:dyDescent="0.25">
      <c r="D342" s="85"/>
    </row>
    <row r="343" spans="4:4" x14ac:dyDescent="0.25">
      <c r="D343" s="85"/>
    </row>
    <row r="344" spans="4:4" x14ac:dyDescent="0.25">
      <c r="D344" s="85"/>
    </row>
    <row r="345" spans="4:4" x14ac:dyDescent="0.25">
      <c r="D345" s="85"/>
    </row>
    <row r="346" spans="4:4" x14ac:dyDescent="0.25">
      <c r="D346" s="85"/>
    </row>
    <row r="347" spans="4:4" x14ac:dyDescent="0.25">
      <c r="D347" s="85"/>
    </row>
    <row r="348" spans="4:4" x14ac:dyDescent="0.25">
      <c r="D348" s="85"/>
    </row>
    <row r="349" spans="4:4" x14ac:dyDescent="0.25">
      <c r="D349" s="85"/>
    </row>
    <row r="350" spans="4:4" x14ac:dyDescent="0.25">
      <c r="D350" s="85"/>
    </row>
    <row r="351" spans="4:4" x14ac:dyDescent="0.25">
      <c r="D351" s="85"/>
    </row>
    <row r="352" spans="4:4" x14ac:dyDescent="0.25">
      <c r="D352" s="85"/>
    </row>
    <row r="353" spans="4:4" x14ac:dyDescent="0.25">
      <c r="D353" s="85"/>
    </row>
    <row r="354" spans="4:4" x14ac:dyDescent="0.25">
      <c r="D354" s="85"/>
    </row>
    <row r="355" spans="4:4" x14ac:dyDescent="0.25">
      <c r="D355" s="85"/>
    </row>
    <row r="356" spans="4:4" x14ac:dyDescent="0.25">
      <c r="D356" s="85"/>
    </row>
    <row r="357" spans="4:4" x14ac:dyDescent="0.25">
      <c r="D357" s="85"/>
    </row>
    <row r="358" spans="4:4" x14ac:dyDescent="0.25">
      <c r="D358" s="85"/>
    </row>
    <row r="359" spans="4:4" x14ac:dyDescent="0.25">
      <c r="D359" s="85"/>
    </row>
    <row r="360" spans="4:4" x14ac:dyDescent="0.25">
      <c r="D360" s="85"/>
    </row>
    <row r="361" spans="4:4" x14ac:dyDescent="0.25">
      <c r="D361" s="85"/>
    </row>
    <row r="362" spans="4:4" x14ac:dyDescent="0.25">
      <c r="D362" s="85"/>
    </row>
    <row r="363" spans="4:4" x14ac:dyDescent="0.25">
      <c r="D363" s="85"/>
    </row>
    <row r="364" spans="4:4" x14ac:dyDescent="0.25">
      <c r="D364" s="85"/>
    </row>
    <row r="365" spans="4:4" x14ac:dyDescent="0.25">
      <c r="D365" s="85"/>
    </row>
    <row r="366" spans="4:4" x14ac:dyDescent="0.25">
      <c r="D366" s="85"/>
    </row>
    <row r="367" spans="4:4" x14ac:dyDescent="0.25">
      <c r="D367" s="85"/>
    </row>
    <row r="368" spans="4:4" x14ac:dyDescent="0.25">
      <c r="D368" s="85"/>
    </row>
    <row r="369" spans="4:4" x14ac:dyDescent="0.25">
      <c r="D369" s="85"/>
    </row>
    <row r="370" spans="4:4" x14ac:dyDescent="0.25">
      <c r="D370" s="85"/>
    </row>
    <row r="371" spans="4:4" x14ac:dyDescent="0.25">
      <c r="D371" s="85"/>
    </row>
    <row r="372" spans="4:4" x14ac:dyDescent="0.25">
      <c r="D372" s="85"/>
    </row>
    <row r="373" spans="4:4" x14ac:dyDescent="0.25">
      <c r="D373" s="85"/>
    </row>
    <row r="374" spans="4:4" x14ac:dyDescent="0.25">
      <c r="D374" s="85"/>
    </row>
    <row r="375" spans="4:4" x14ac:dyDescent="0.25">
      <c r="D375" s="85"/>
    </row>
    <row r="376" spans="4:4" x14ac:dyDescent="0.25">
      <c r="D376" s="85"/>
    </row>
    <row r="377" spans="4:4" x14ac:dyDescent="0.25">
      <c r="D377" s="85"/>
    </row>
    <row r="378" spans="4:4" x14ac:dyDescent="0.25">
      <c r="D378" s="85"/>
    </row>
    <row r="379" spans="4:4" x14ac:dyDescent="0.25">
      <c r="D379" s="85"/>
    </row>
    <row r="380" spans="4:4" x14ac:dyDescent="0.25">
      <c r="D380" s="85"/>
    </row>
    <row r="381" spans="4:4" x14ac:dyDescent="0.25">
      <c r="D381" s="85"/>
    </row>
    <row r="382" spans="4:4" x14ac:dyDescent="0.25">
      <c r="D382" s="85"/>
    </row>
    <row r="383" spans="4:4" x14ac:dyDescent="0.25">
      <c r="D383" s="85"/>
    </row>
    <row r="384" spans="4:4" x14ac:dyDescent="0.25">
      <c r="D384" s="85"/>
    </row>
    <row r="385" spans="4:4" x14ac:dyDescent="0.25">
      <c r="D385" s="85"/>
    </row>
    <row r="386" spans="4:4" x14ac:dyDescent="0.25">
      <c r="D386" s="85"/>
    </row>
    <row r="387" spans="4:4" x14ac:dyDescent="0.25">
      <c r="D387" s="85"/>
    </row>
    <row r="388" spans="4:4" x14ac:dyDescent="0.25">
      <c r="D388" s="85"/>
    </row>
    <row r="389" spans="4:4" x14ac:dyDescent="0.25">
      <c r="D389" s="85"/>
    </row>
    <row r="390" spans="4:4" x14ac:dyDescent="0.25">
      <c r="D390" s="85"/>
    </row>
    <row r="391" spans="4:4" x14ac:dyDescent="0.25">
      <c r="D391" s="85"/>
    </row>
    <row r="392" spans="4:4" x14ac:dyDescent="0.25">
      <c r="D392" s="85"/>
    </row>
    <row r="393" spans="4:4" x14ac:dyDescent="0.25">
      <c r="D393" s="85"/>
    </row>
    <row r="394" spans="4:4" x14ac:dyDescent="0.25">
      <c r="D394" s="85"/>
    </row>
    <row r="395" spans="4:4" x14ac:dyDescent="0.25">
      <c r="D395" s="85"/>
    </row>
    <row r="396" spans="4:4" x14ac:dyDescent="0.25">
      <c r="D396" s="85"/>
    </row>
    <row r="397" spans="4:4" x14ac:dyDescent="0.25">
      <c r="D397" s="85"/>
    </row>
    <row r="398" spans="4:4" x14ac:dyDescent="0.25">
      <c r="D398" s="85"/>
    </row>
    <row r="399" spans="4:4" x14ac:dyDescent="0.25">
      <c r="D399" s="85"/>
    </row>
    <row r="400" spans="4:4" x14ac:dyDescent="0.25">
      <c r="D400" s="85"/>
    </row>
    <row r="401" spans="4:4" x14ac:dyDescent="0.25">
      <c r="D401" s="85"/>
    </row>
    <row r="402" spans="4:4" x14ac:dyDescent="0.25">
      <c r="D402" s="85"/>
    </row>
    <row r="403" spans="4:4" x14ac:dyDescent="0.25">
      <c r="D403" s="85"/>
    </row>
    <row r="404" spans="4:4" x14ac:dyDescent="0.25">
      <c r="D404" s="85"/>
    </row>
    <row r="405" spans="4:4" x14ac:dyDescent="0.25">
      <c r="D405" s="85"/>
    </row>
    <row r="406" spans="4:4" x14ac:dyDescent="0.25">
      <c r="D406" s="85"/>
    </row>
    <row r="407" spans="4:4" x14ac:dyDescent="0.25">
      <c r="D407" s="85"/>
    </row>
    <row r="408" spans="4:4" x14ac:dyDescent="0.25">
      <c r="D408" s="85"/>
    </row>
    <row r="409" spans="4:4" x14ac:dyDescent="0.25">
      <c r="D409" s="85"/>
    </row>
    <row r="410" spans="4:4" x14ac:dyDescent="0.25">
      <c r="D410" s="85"/>
    </row>
    <row r="411" spans="4:4" x14ac:dyDescent="0.25">
      <c r="D411" s="85"/>
    </row>
    <row r="412" spans="4:4" x14ac:dyDescent="0.25">
      <c r="D412" s="85"/>
    </row>
    <row r="413" spans="4:4" x14ac:dyDescent="0.25">
      <c r="D413" s="85"/>
    </row>
    <row r="414" spans="4:4" x14ac:dyDescent="0.25">
      <c r="D414" s="85"/>
    </row>
    <row r="415" spans="4:4" x14ac:dyDescent="0.25">
      <c r="D415" s="85"/>
    </row>
    <row r="416" spans="4:4" x14ac:dyDescent="0.25">
      <c r="D416" s="85"/>
    </row>
    <row r="417" spans="4:4" x14ac:dyDescent="0.25">
      <c r="D417" s="85"/>
    </row>
    <row r="418" spans="4:4" x14ac:dyDescent="0.25">
      <c r="D418" s="85"/>
    </row>
    <row r="419" spans="4:4" x14ac:dyDescent="0.25">
      <c r="D419" s="85"/>
    </row>
    <row r="420" spans="4:4" x14ac:dyDescent="0.25">
      <c r="D420" s="85"/>
    </row>
    <row r="421" spans="4:4" x14ac:dyDescent="0.25">
      <c r="D421" s="85"/>
    </row>
    <row r="422" spans="4:4" x14ac:dyDescent="0.25">
      <c r="D422" s="85"/>
    </row>
    <row r="423" spans="4:4" x14ac:dyDescent="0.25">
      <c r="D423" s="85"/>
    </row>
    <row r="424" spans="4:4" x14ac:dyDescent="0.25">
      <c r="D424" s="85"/>
    </row>
    <row r="425" spans="4:4" x14ac:dyDescent="0.25">
      <c r="D425" s="85"/>
    </row>
    <row r="426" spans="4:4" x14ac:dyDescent="0.25">
      <c r="D426" s="85"/>
    </row>
    <row r="427" spans="4:4" x14ac:dyDescent="0.25">
      <c r="D427" s="85"/>
    </row>
    <row r="428" spans="4:4" x14ac:dyDescent="0.25">
      <c r="D428" s="85"/>
    </row>
    <row r="429" spans="4:4" x14ac:dyDescent="0.25">
      <c r="D429" s="85"/>
    </row>
    <row r="430" spans="4:4" x14ac:dyDescent="0.25">
      <c r="D430" s="85"/>
    </row>
    <row r="431" spans="4:4" x14ac:dyDescent="0.25">
      <c r="D431" s="85"/>
    </row>
    <row r="432" spans="4:4" x14ac:dyDescent="0.25">
      <c r="D432" s="85"/>
    </row>
    <row r="433" spans="4:4" x14ac:dyDescent="0.25">
      <c r="D433" s="85"/>
    </row>
  </sheetData>
  <sheetProtection password="E2B3" sheet="1" objects="1" scenarios="1" selectLockedCells="1"/>
  <mergeCells count="63">
    <mergeCell ref="D15:F15"/>
    <mergeCell ref="K24:Q24"/>
    <mergeCell ref="T24:Z24"/>
    <mergeCell ref="C4:H4"/>
    <mergeCell ref="C6:H6"/>
    <mergeCell ref="C8:H8"/>
    <mergeCell ref="C10:D10"/>
    <mergeCell ref="C13:D13"/>
    <mergeCell ref="AE37:AK37"/>
    <mergeCell ref="AE40:AK40"/>
    <mergeCell ref="AE24:AK24"/>
    <mergeCell ref="B25:H25"/>
    <mergeCell ref="K25:Q25"/>
    <mergeCell ref="T25:Z25"/>
    <mergeCell ref="AE25:AK25"/>
    <mergeCell ref="B24:H24"/>
    <mergeCell ref="B40:H40"/>
    <mergeCell ref="K40:Q40"/>
    <mergeCell ref="T40:Z40"/>
    <mergeCell ref="B37:H37"/>
    <mergeCell ref="K37:Q37"/>
    <mergeCell ref="T37:Z37"/>
    <mergeCell ref="AE70:AK70"/>
    <mergeCell ref="T63:Z63"/>
    <mergeCell ref="B45:H45"/>
    <mergeCell ref="K45:Q45"/>
    <mergeCell ref="T45:Z45"/>
    <mergeCell ref="AE45:AK45"/>
    <mergeCell ref="C227:E227"/>
    <mergeCell ref="C171:E171"/>
    <mergeCell ref="C175:E175"/>
    <mergeCell ref="C180:E180"/>
    <mergeCell ref="C185:E185"/>
    <mergeCell ref="C190:E190"/>
    <mergeCell ref="C195:E195"/>
    <mergeCell ref="B219:H219"/>
    <mergeCell ref="C221:E221"/>
    <mergeCell ref="C226:E226"/>
    <mergeCell ref="C167:E167"/>
    <mergeCell ref="B97:H97"/>
    <mergeCell ref="B102:H102"/>
    <mergeCell ref="B105:H105"/>
    <mergeCell ref="B123:H123"/>
    <mergeCell ref="B130:H130"/>
    <mergeCell ref="B149:H149"/>
    <mergeCell ref="B150:H150"/>
    <mergeCell ref="B166:H166"/>
    <mergeCell ref="B94:C94"/>
    <mergeCell ref="AN45:AT45"/>
    <mergeCell ref="AN63:AT63"/>
    <mergeCell ref="AN70:AT70"/>
    <mergeCell ref="AN24:AT24"/>
    <mergeCell ref="AN25:AT25"/>
    <mergeCell ref="AN37:AT37"/>
    <mergeCell ref="AN40:AT40"/>
    <mergeCell ref="B63:H63"/>
    <mergeCell ref="K63:Q63"/>
    <mergeCell ref="B88:H88"/>
    <mergeCell ref="B89:H89"/>
    <mergeCell ref="AE63:AK63"/>
    <mergeCell ref="B70:H70"/>
    <mergeCell ref="K70:Q70"/>
    <mergeCell ref="T70:Z70"/>
  </mergeCells>
  <conditionalFormatting sqref="D35 D44 D69 M35:M36 V44 V86 M69 V35:V36 V69 V39 M44 D96 D39 M39 D62 M62 D86 M86 AP44 AP69 AP86">
    <cfRule type="expression" dxfId="28" priority="50">
      <formula>$B$24</formula>
    </cfRule>
  </conditionalFormatting>
  <conditionalFormatting sqref="D101 D104 AG101 AG104 D146 AG146">
    <cfRule type="expression" dxfId="27" priority="25">
      <formula>#REF!</formula>
    </cfRule>
  </conditionalFormatting>
  <conditionalFormatting sqref="AG86 AG44 AG69 D217 D36">
    <cfRule type="expression" dxfId="26" priority="4">
      <formula>$B$23</formula>
    </cfRule>
  </conditionalFormatting>
  <dataValidations count="97">
    <dataValidation type="decimal" allowBlank="1" showInputMessage="1" showErrorMessage="1" error="Número inválido. Podem ser preenchidos números com até duas casas decimais." prompt="Corresponde à soma das áreas (referentes à área total anteriormente informada) que sofreram: _x000a_- queima com autorização para colheita_x000a_- queima acidental _x000a_- queima criminosa_x000a_- queima para eliminação de resíduos culturais" sqref="M38" xr:uid="{00000000-0002-0000-0900-000000000000}">
      <formula1>0</formula1>
      <formula2>99999999.99</formula2>
    </dataValidation>
    <dataValidation allowBlank="1" showInputMessage="1" showErrorMessage="1" prompt="Refere-se à quantidade total anual do fertilizante especificado na coluna a esquerda utilizada na área total (informada no campo &quot;Área total&quot;) dividida pela produção total de colmos (informada no campo &quot;Produção total&quot;). Deve ser reportada em base úmida." sqref="D129" xr:uid="{00000000-0002-0000-0900-000001000000}"/>
    <dataValidation type="custom" allowBlank="1" showInputMessage="1" showErrorMessage="1" error="Número inválido. Podem ser preenchidos números com até duas casas decimais." prompt="Refere-se à quantidade total anual de palha própria utilizada para geração de vapor/eletricidade. Deve ser reportada em base úmida." sqref="D172" xr:uid="{00000000-0002-0000-0900-000002000000}">
      <formula1>IF(AND(D172&gt;=0,D172=ROUND(D172,2)),D172,"")</formula1>
    </dataValidation>
    <dataValidation type="decimal" allowBlank="1" showInputMessage="1" showErrorMessage="1" error="Número inválido." prompt="Refere-se ao percentual do volume de etanol anidro comercializado que é distribuido (distância percorrida da usina até o posto de combustível) via sistema logístico &quot;Rodoviário + Ferroviário&quot;." sqref="D224" xr:uid="{00000000-0002-0000-0900-000003000000}">
      <formula1>0</formula1>
      <formula2>1</formula2>
    </dataValidation>
    <dataValidation type="decimal" allowBlank="1" showInputMessage="1" showErrorMessage="1" error="Número inválido." prompt="Refere-se ao percentual do volume de etanol anidro comercializado que é distribuido (distância percorrida da usina até o posto de combustível) via sistema logístico &quot;Rodoviário + Dutoviário.&quot;" sqref="D223" xr:uid="{00000000-0002-0000-0900-000004000000}">
      <formula1>0</formula1>
      <formula2>1</formula2>
    </dataValidation>
    <dataValidation type="decimal" allowBlank="1" showInputMessage="1" showErrorMessage="1" error="Número inválido. " prompt="Refere-se ao percentual do volume de etanol anidro comercializado que é distribuido (distância percorrida da usina até o posto de combustível) via sistema logístico exclusivamente Rodoviário." sqref="D222" xr:uid="{00000000-0002-0000-0900-000005000000}">
      <formula1>0</formula1>
      <formula2>1</formula2>
    </dataValidation>
    <dataValidation type="decimal" allowBlank="1" showInputMessage="1" showErrorMessage="1" error="Número inválido." prompt="Refere-se ao percentual do volume de etanol hidratado comercializado que é distribuido (distância percorrida da usina até o posto de combustível) via sistema logístico exclusivamente Rodoviário." sqref="D228" xr:uid="{00000000-0002-0000-0900-000006000000}">
      <formula1>0</formula1>
      <formula2>1</formula2>
    </dataValidation>
    <dataValidation type="decimal" allowBlank="1" showInputMessage="1" showErrorMessage="1" error="Número inválido. " prompt="Refere-se ao percentual do volume de etanol hidratado comercializado que é distribuido (distância percorrida da usina até o posto de combustível) via sistema logístico &quot;Rodoviário + Dutoviário.&quot;" sqref="D229" xr:uid="{00000000-0002-0000-0900-000007000000}">
      <formula1>0</formula1>
      <formula2>1</formula2>
    </dataValidation>
    <dataValidation type="decimal" allowBlank="1" showInputMessage="1" showErrorMessage="1" error="Número inválido." prompt="Refere-se ao percentual do volume de etanol hidratado comercializado que é distribuido (distância percorrida da usina até o posto de combustível) via sistema logístico &quot;Rodoviário + Ferroviário&quot;." sqref="D230" xr:uid="{00000000-0002-0000-0900-000008000000}">
      <formula1>0</formula1>
      <formula2>1</formula2>
    </dataValidation>
    <dataValidation type="decimal" allowBlank="1" showInputMessage="1" showErrorMessage="1" error="Número inválido. Podem ser preenchidos números com até duas casas decimais." prompt="Área total da unidade de produção, ou seja, soma das áreas colhida, de produção de mudas, de reforma, de cana de ano e meio e de cana bisada. " sqref="M28" xr:uid="{00000000-0002-0000-0900-000009000000}">
      <formula1>0.01</formula1>
      <formula2>99999999.99</formula2>
    </dataValidation>
    <dataValidation type="decimal" allowBlank="1" showInputMessage="1" showErrorMessage="1" error="Número inválido. Podem ser preenchidos números com até duas casas decimais." prompt="Refere-se à quantidade total de palha recolhida anualmente na área total de produção. Este parâmetro refere-se à palha recolhida separadamente da cana (por exemplo, palha enfardada, palha recolhida por forrageira, entre outros)." sqref="M34" xr:uid="{00000000-0002-0000-0900-00000A000000}">
      <formula1>0</formula1>
      <formula2>9999.99</formula2>
    </dataValidation>
    <dataValidation type="decimal" allowBlank="1" showInputMessage="1" showErrorMessage="1" error="Número inválido. Podem ser preenchidos números com até duas casas decimais." prompt="Refere-se ao teor médio de impurezas minerais contido na cana." sqref="M33" xr:uid="{00000000-0002-0000-0900-00000B000000}">
      <formula1>0.01</formula1>
      <formula2>999.99</formula2>
    </dataValidation>
    <dataValidation type="decimal" allowBlank="1" showInputMessage="1" showErrorMessage="1" error="Número inválido. " prompt="Refere-se ao teor médio de umidade das impurezas vegetais." sqref="P32 G32" xr:uid="{00000000-0002-0000-0900-00000C000000}">
      <formula1>0</formula1>
      <formula2>1</formula2>
    </dataValidation>
    <dataValidation type="decimal" allowBlank="1" showInputMessage="1" showErrorMessage="1" error="Número inválido. Podem ser preenchidos números com até duas casas decimais." prompt="Refere-se ao teor médio de impurezas vegetais contido na cana. Deve ser reportado em base úmida." sqref="M32" xr:uid="{00000000-0002-0000-0900-00000D000000}">
      <formula1>0</formula1>
      <formula2>999.99</formula2>
    </dataValidation>
    <dataValidation type="decimal" allowBlank="1" showInputMessage="1" showErrorMessage="1" error="Número inválido. Podem ser preenchidos números com até duas casas decimais." prompt="Quantidade total de produto produzido na área total de produção._x000a_Refere-se ao total anual de cana colhida destinada à moagem (soma de colmos, impurezas vegetais e minerais). Este parâmetro deve ser reportado em base úmida._x000a_" sqref="M30:M31" xr:uid="{00000000-0002-0000-0900-00000E000000}">
      <formula1>0.01</formula1>
      <formula2>99999999.99</formula2>
    </dataValidation>
    <dataValidation type="decimal" allowBlank="1" showInputMessage="1" showErrorMessage="1" error="Número inválido. Podem ser preenchidos números com até duas casas decimais." prompt="Quantidade anual consumida de  K₂O por fonte na área total de cana, dividida pelo valor informado no campo Produção Total Colhida para Moagem  " sqref="M58" xr:uid="{00000000-0002-0000-0900-00000F000000}">
      <formula1>0</formula1>
      <formula2>99.99</formula2>
    </dataValidation>
    <dataValidation type="decimal" allowBlank="1" showInputMessage="1" showErrorMessage="1" error="Número inválido. Podem ser preenchidos números com até duas casas decimais." prompt="Quantidade anual consumida de N  na área total de cana na forma especificada na coluna à esquerda, dividida pelo valor informado no campo Produção Total  Colhida para Moagem" sqref="M59" xr:uid="{00000000-0002-0000-0900-000010000000}">
      <formula1>0</formula1>
      <formula2>99.99</formula2>
    </dataValidation>
    <dataValidation type="decimal" allowBlank="1" showInputMessage="1" showErrorMessage="1" error="Número inválido. Podem ser preenchidos números com até duas casas decimais." prompt="Informar a concentração de nitrogênio em cada fonte." sqref="P64:P68" xr:uid="{00000000-0002-0000-0900-000011000000}">
      <formula1>0.01</formula1>
      <formula2>999.99</formula2>
    </dataValidation>
    <dataValidation type="decimal" allowBlank="1" showInputMessage="1" showErrorMessage="1" error="Número inválido. Podem ser preenchidos números com até duas casas decimais." prompt="Quantidade anual consumida de fertilizantes por fonte (vinhaça, torta de filtro, cinzas e fuligem, outros) na área total de cana, dividida pelo valor informado no campo Produção Total Colhida para Moagem" sqref="M64:M68" xr:uid="{00000000-0002-0000-0900-000012000000}">
      <formula1>0</formula1>
      <formula2>9999.99</formula2>
    </dataValidation>
    <dataValidation type="decimal" allowBlank="1" showInputMessage="1" showErrorMessage="1" error="Número inválido. Podem ser preenchidos números com até duas casas decimais." prompt="Quantidade anual consumida de  K₂O na área total de cana na forma especificada na coluna à esquerda, dividida pelo valor informado no campo Produção Total Colhida para Moagem" sqref="M61" xr:uid="{00000000-0002-0000-0900-000013000000}">
      <formula1>0</formula1>
      <formula2>99.99</formula2>
    </dataValidation>
    <dataValidation type="decimal" allowBlank="1" showInputMessage="1" showErrorMessage="1" error="Número inválido. Podem ser preenchidos números com até duas casas decimais." prompt="Quantidade anual consumida de  P₂O₅  na área total de cana na forma especificada na coluna à esquerda, dividida pelo valor informado no campo Produção Total Colhida para Moagem " sqref="M60" xr:uid="{00000000-0002-0000-0900-000014000000}">
      <formula1>0</formula1>
      <formula2>99.99</formula2>
    </dataValidation>
    <dataValidation type="decimal" allowBlank="1" showInputMessage="1" showErrorMessage="1" error="Número inválido. " prompt="No campo BX, X representa o teor de mistura de biodiesel vigente no ano de referência para o preenchimento." sqref="G73 G133 P73" xr:uid="{00000000-0002-0000-0900-000015000000}">
      <formula1>0</formula1>
      <formula2>1</formula2>
    </dataValidation>
    <dataValidation type="decimal" allowBlank="1" showInputMessage="1" showErrorMessage="1" error="Número inválido. Podem ser preenchidos números com até duas casas decimais." prompt="Quantidade total anual de eletricidade consumida na área total de cana dividida pelo valor informado no campo Produção Total Colhida para Moagem" sqref="M81:M85" xr:uid="{00000000-0002-0000-0900-000016000000}">
      <formula1>0</formula1>
      <formula2>999.99</formula2>
    </dataValidation>
    <dataValidation type="decimal" allowBlank="1" showInputMessage="1" showErrorMessage="1" error="Número inválido. Podem ser preenchidos números com até duas casas decimais." prompt="Quantidade total anual de combustíveis (soma do consumo nas operações agrícolas, irrigação, transportes da cana, palha, vinhaça, torta de filtro, cinzas, deslocamento de pessoas, etc) na área total de cana dividida pelo valor informado em Produção Total" sqref="M71:M80" xr:uid="{00000000-0002-0000-0900-000017000000}">
      <formula1>0</formula1>
      <formula2>999.99</formula2>
    </dataValidation>
    <dataValidation type="decimal" allowBlank="1" showInputMessage="1" showErrorMessage="1" error="Número inválido." prompt="Refere-se ao teor médio de umidade do millho. " sqref="G93" xr:uid="{00000000-0002-0000-0900-000018000000}">
      <formula1>0</formula1>
      <formula2>1</formula2>
    </dataValidation>
    <dataValidation type="decimal" allowBlank="1" showInputMessage="1" showErrorMessage="1" error="Número inválido." prompt="Refere-se ao teor de umidade do milho processado." sqref="G153" xr:uid="{00000000-0002-0000-0900-000019000000}">
      <formula1>0</formula1>
      <formula2>1</formula2>
    </dataValidation>
    <dataValidation type="decimal" allowBlank="1" showInputMessage="1" showErrorMessage="1" error="Número inválido." prompt="Teor de umidade:_x000a__x000a_Massa de água / Massa total" sqref="D187 D182 D177 D192 D197" xr:uid="{00000000-0002-0000-0900-00001A000000}">
      <formula1>0</formula1>
      <formula2>1</formula2>
    </dataValidation>
    <dataValidation type="list" allowBlank="1" showInputMessage="1" showErrorMessage="1" prompt="Defina o sistema de plantio realizado" sqref="D27 D90 M27" xr:uid="{00000000-0002-0000-0900-00001B000000}">
      <formula1>Sistema_Plantio</formula1>
    </dataValidation>
    <dataValidation allowBlank="1" showErrorMessage="1" prompt=" " sqref="D92" xr:uid="{00000000-0002-0000-0900-00001C000000}"/>
    <dataValidation type="list" allowBlank="1" showErrorMessage="1" sqref="C13:D13" xr:uid="{00000000-0002-0000-0900-00001D000000}">
      <formula1>Etanol</formula1>
    </dataValidation>
    <dataValidation allowBlank="1" showInputMessage="1" showErrorMessage="1" prompt="Informar o Poder Calorífico Inferior (PCI) do biogás." sqref="G209:G211 G205:G207" xr:uid="{00000000-0002-0000-0900-00001E000000}"/>
    <dataValidation type="decimal" allowBlank="1" showInputMessage="1" showErrorMessage="1" error="Número inválido. Podem ser preenchidos números com até duas casas decimais." prompt="Quantidade anual consumida de calcário dolomítico na área total de cana, dividida pelo valor informado no campo Produção Total Colhida para Moagem" sqref="M42" xr:uid="{00000000-0002-0000-0900-00001F000000}">
      <formula1>0</formula1>
      <formula2>99.99</formula2>
    </dataValidation>
    <dataValidation type="decimal" allowBlank="1" showInputMessage="1" showErrorMessage="1" error="Número inválido. Podem ser preenchidos números com até duas casas decimais." prompt="Quantidade anual consumida de calcário calcítico na área total de cana, dividida pelo valor informado no campo Produção Total Colhida para Moagem" sqref="M41" xr:uid="{00000000-0002-0000-0900-000020000000}">
      <formula1>0</formula1>
      <formula2>99.99</formula2>
    </dataValidation>
    <dataValidation type="decimal" allowBlank="1" showInputMessage="1" showErrorMessage="1" error="Número inválido. Podem ser preenchidos números com até duas casas decimais." prompt="Quantidade consumida de cada corretivo (calcário calcítico, calcário dolomítico e gesso agrícola) na área total, dividida pela quantidade de cana." sqref="M42" xr:uid="{00000000-0002-0000-0900-000021000000}">
      <formula1>0</formula1>
      <formula2>9.99</formula2>
    </dataValidation>
    <dataValidation type="decimal" allowBlank="1" showInputMessage="1" showErrorMessage="1" error="Número inválido. Podem ser preenchidos números com até duas casas decimais." prompt="Quantidade anual consumida de gesso na área total de cana, dividida pelo valor informado no campo Produção Total Colhida para Moagem" sqref="M43" xr:uid="{00000000-0002-0000-0900-000022000000}">
      <formula1>0</formula1>
      <formula2>99.99</formula2>
    </dataValidation>
    <dataValidation type="decimal" allowBlank="1" showInputMessage="1" showErrorMessage="1" error="Número inválido. " prompt="Teor de umidade:_x000a__x000a_Massa de água / Massa total" sqref="G159:G162 G164 D169 D173" xr:uid="{00000000-0002-0000-0900-000023000000}">
      <formula1>0</formula1>
      <formula2>1</formula2>
    </dataValidation>
    <dataValidation type="custom" allowBlank="1" showInputMessage="1" showErrorMessage="1" error="Número inválido._x000a_" prompt="Informar o Poder Calorífico Inferior (PCI) do biogás." sqref="G203:G204" xr:uid="{00000000-0002-0000-0900-000024000000}">
      <formula1>IF(AND(G203&lt;=50,G203&gt;=30,G203=ROUND(G203,2)),G203,"")</formula1>
    </dataValidation>
    <dataValidation type="decimal" allowBlank="1" showInputMessage="1" showErrorMessage="1" error="Número inválido." prompt="No campo BX, X representa o teor de mistura de biodiesel vigente no ano de referência para o preenchimento." sqref="G208" xr:uid="{00000000-0002-0000-0900-000025000000}">
      <formula1>0</formula1>
      <formula2>1</formula2>
    </dataValidation>
    <dataValidation type="decimal" allowBlank="1" showInputMessage="1" showErrorMessage="1" error="Número inválido. Podem ser preenchidos números com até duas casas decimais." prompt="Quantidade anual consumida do elemento N por fonte na área total de cana, dividida pelo valor informado no campo Produção Total Colhida para Moagem" sqref="M46:M47 M51:M55 M49" xr:uid="{00000000-0002-0000-0900-000026000000}">
      <formula1>0</formula1>
      <formula2>99.99</formula2>
    </dataValidation>
    <dataValidation type="decimal" allowBlank="1" showInputMessage="1" showErrorMessage="1" error="Número inválido. Podem ser preenchidos números com até duas casas decimais." prompt="Quantidade anual consumida de P₂O₅ por fonte na área total de cana, dividida pelo valor informado no campo Produção Total Colhida para Moagem " sqref="M48 M56:M57 M50" xr:uid="{00000000-0002-0000-0900-000027000000}">
      <formula1>0</formula1>
      <formula2>99.99</formula2>
    </dataValidation>
    <dataValidation allowBlank="1" showInputMessage="1" showErrorMessage="1" prompt="Esses dados devem ser preenchido de acordo com o resultado obtido na planilha de cadastro de produtores de biomassa." sqref="K24:Q24 B88:H88" xr:uid="{00000000-0002-0000-0900-000028000000}"/>
    <dataValidation type="custom" allowBlank="1" showInputMessage="1" showErrorMessage="1" error="Número inválido. Podem ser preenchidos números com até duas casas decimais." prompt="Área total da unidade de produção, ou seja, soma das áreas colhida, de produção de mudas, de reforma, de cana de ano e meio e de cana bisada. " sqref="D28" xr:uid="{00000000-0002-0000-0900-000029000000}">
      <formula1>IF(AND(D28&gt;=0,D28=ROUND(D28,2)),D28,"")</formula1>
    </dataValidation>
    <dataValidation type="custom" allowBlank="1" showInputMessage="1" showErrorMessage="1" error="Número inválido. Podem ser preenchidos números com até duas casas decimais." prompt="Quantidade total de produto produzido na área total de produção._x000a_Refere-se ao total anual de cana colhida destinada à moagem (soma de colmos, impurezas vegetais e minerais). Este parâmetro deve ser reportado em base úmida." sqref="D30" xr:uid="{00000000-0002-0000-0900-00002A000000}">
      <formula1>IF(AND(D30&gt;=0,D30=ROUND(D30,2)),D30,"")</formula1>
    </dataValidation>
    <dataValidation type="custom" allowBlank="1" showInputMessage="1" showErrorMessage="1" error="Número inválido. Podem ser preenchidos números com até duas casas decimais." prompt="Refere-se ao teor médio de impurezas vegetais contido na cana. Deve ser reportado em base úmida." sqref="D32" xr:uid="{00000000-0002-0000-0900-00002B000000}">
      <formula1>IF(AND(D32&gt;=0,D32=ROUND(D32,2)),D32,"")</formula1>
    </dataValidation>
    <dataValidation type="custom" allowBlank="1" showInputMessage="1" showErrorMessage="1" error="Número inválido. Podem ser preenchidos números com até duas casas decimais." prompt="Refere-se ao teor médio de impurezas minerais contido na cana." sqref="D33" xr:uid="{00000000-0002-0000-0900-00002C000000}">
      <formula1>IF(AND(D33&gt;=0,D33=ROUND(D33,2)),D33,"")</formula1>
    </dataValidation>
    <dataValidation type="custom" allowBlank="1" showInputMessage="1" showErrorMessage="1" error="Número inválido. Podem ser preenchidos números com até duas casas decimais." prompt="Refere-se à quantidade total de palha recolhida anualmente na área total de produção. Este parâmetro refere-se à palha recolhida separadamente da cana (por exemplo, palha enfardada, palha recolhida por forrageira, entre outros)." sqref="D34" xr:uid="{00000000-0002-0000-0900-00002D000000}">
      <formula1>IF(AND(D34&gt;=0,D34=ROUND(D34,2)),D34,"")</formula1>
    </dataValidation>
    <dataValidation type="custom" allowBlank="1" showInputMessage="1" showErrorMessage="1" error="Número inválido. Podem ser preenchidos números com até duas casas decimais." prompt="Corresponde à soma das áreas (referentes à área total anteriormente informada) que sofreram: _x000a_- queima com autorização para colheita_x000a_- queima acidental _x000a_- queima criminosa_x000a_- queima para eliminação de resíduos culturais" sqref="D38" xr:uid="{00000000-0002-0000-0900-00002E000000}">
      <formula1>IF(AND(D38&gt;=0,D38=ROUND(D38,2)),D38,"")</formula1>
    </dataValidation>
    <dataValidation type="custom" allowBlank="1" showInputMessage="1" showErrorMessage="1" error="Número inválido. Podem ser preenchidos números com até duas casas decimais." prompt="Quantidade consumida de cada corretivo (calcário calcítico, calcário dolomítico e gesso agrícola) na área total, dividida pela quantidade de cana." sqref="D41:D43" xr:uid="{00000000-0002-0000-0900-00002F000000}">
      <formula1>IF(AND(D41&gt;=0,D41=ROUND(D41,2)),D41,"")</formula1>
    </dataValidation>
    <dataValidation type="custom" allowBlank="1" showInputMessage="1" showErrorMessage="1" error="Número inválido. Podem ser preenchidos números com até duas casas decimais." prompt="Quantidade anual consumida do elemento N por fonte na área total de cana, dividida pelo valor informado no campo Produção Total Colhida para Moagem" sqref="D46:D47 D49 D51:D55 D59" xr:uid="{00000000-0002-0000-0900-000030000000}">
      <formula1>IF(AND(D46&gt;=0,D46=ROUND(D46,2)),D46,"")</formula1>
    </dataValidation>
    <dataValidation type="custom" allowBlank="1" showInputMessage="1" showErrorMessage="1" error="Número inválido. Podem ser preenchidos números com até duas casas decimais." prompt="Quantidade anual consumida de P₂O₅ por fonte na área total de cana, dividida pelo valor informado no campo Produção Total Colhida para Moagem " sqref="D48 D50 D56:D57 D60" xr:uid="{00000000-0002-0000-0900-000031000000}">
      <formula1>IF(AND(D48&gt;=0,D48=ROUND(D48,2)),D48,"")</formula1>
    </dataValidation>
    <dataValidation type="custom" allowBlank="1" showInputMessage="1" showErrorMessage="1" error="Número inválido. Podem ser preenchidos números com até duas casas decimais." prompt="Quantidade anual consumida de  K₂O por fonte na área total de cana, dividida pelo valor informado no campo Produção Total Colhida para Moagem   " sqref="D58 D61" xr:uid="{00000000-0002-0000-0900-000032000000}">
      <formula1>IF(AND(D58&gt;=0,D58=ROUND(D58,2)),D58,"")</formula1>
    </dataValidation>
    <dataValidation type="custom" allowBlank="1" showInputMessage="1" showErrorMessage="1" error="Número inválido. Podem ser preenchidos números com até duas casas decimais." prompt="Quantidade anual consumida de fertilizantes por fonte (vinhaça, torta de filtro, cinzas e fuligem, outros) na área total de cana, dividida pelo valor informado no campo Produção Total Colhida para Moagem" sqref="D64:D68" xr:uid="{00000000-0002-0000-0900-000033000000}">
      <formula1>IF(AND(D64&gt;=0,D64=ROUND(D64,2)),D64,"")</formula1>
    </dataValidation>
    <dataValidation type="custom" allowBlank="1" showInputMessage="1" showErrorMessage="1" error="Número inválido. Podem ser preenchidos números com até duas casas decimais." prompt="Informar a concentração de nitrogênio em cada fonte." sqref="G64:G68 G124:G128" xr:uid="{00000000-0002-0000-0900-000034000000}">
      <formula1>IF(AND(G64&gt;=0,G64=ROUND(G64,2)),G64,"")</formula1>
    </dataValidation>
    <dataValidation type="custom" allowBlank="1" showInputMessage="1" showErrorMessage="1" error="Número inválido. Podem ser preenchidos números com até duas casas decimais." prompt="Quantidade total anual de combustíveis (soma do consumo nas operações agrícolas, irrigação, transportes da cana, palha, vinhaça, torta de filtro, cinzas, deslocamento de pessoas, etc) na área total de cana dividida pelo valor informado em Produção Total" sqref="D71:D80" xr:uid="{00000000-0002-0000-0900-000035000000}">
      <formula1>IF(AND(D71&gt;=0,D71=ROUND(D71,2)),D71,"")</formula1>
    </dataValidation>
    <dataValidation type="custom" allowBlank="1" showInputMessage="1" showErrorMessage="1" error="Número inválido. Podem ser preenchidos números com até duas casas decimais." prompt="Quantidade total anual de eletricidade consumida na área total de cana dividida pelo valor informado no campo Produção Total Colhida para Moagem" sqref="D81:D85" xr:uid="{00000000-0002-0000-0900-000036000000}">
      <formula1>IF(AND(D81&gt;=0,D81=ROUND(D81,2)),D81,"")</formula1>
    </dataValidation>
    <dataValidation type="custom" allowBlank="1" showInputMessage="1" showErrorMessage="1" error="Número inválido. Podem ser preenchidos números com até duas casas decimais." prompt="Refere-se à área total da usina, ou seja, a soma das áreas de plantio e colheita. " sqref="D91" xr:uid="{00000000-0002-0000-0900-000037000000}">
      <formula1>IF(AND(D91&gt;=0,D91=ROUND(D91,2)),D91,"")</formula1>
    </dataValidation>
    <dataValidation type="custom" allowBlank="1" showInputMessage="1" showErrorMessage="1" error="Número inválido. Podem ser preenchidos números com até duas casas decimais." prompt="Refere-se à quantidade total de produto produzido na área total de produção, informada no campo &quot;Área total&quot;" sqref="D93" xr:uid="{00000000-0002-0000-0900-000038000000}">
      <formula1>IF(AND(D93&gt;=0,D93=ROUND(D93,2)),D93,"")</formula1>
    </dataValidation>
    <dataValidation type="custom" allowBlank="1" showInputMessage="1" showErrorMessage="1" error="Número inválido. Podem ser preenchidos números com até duas casas decimais." prompt="Refere-se à quantidade total de palha recolhida anualmente na área total de produção. " sqref="D95" xr:uid="{00000000-0002-0000-0900-000039000000}">
      <formula1>IF(AND(D95&gt;=0,D95=ROUND(D95,2)),D95,"")</formula1>
    </dataValidation>
    <dataValidation type="custom" allowBlank="1" showInputMessage="1" showErrorMessage="1" error="Número inválido. Podem ser preenchidos números com até duas casas decimais." prompt="Quantidade anual consumida de calcário calcítico na área total de milho, dividida pelo valor informado no campo Produção Total" sqref="D98" xr:uid="{00000000-0002-0000-0900-00003A000000}">
      <formula1>IF(AND(D98&gt;=0,D98=ROUND(D98,2)),D98,"")</formula1>
    </dataValidation>
    <dataValidation type="custom" allowBlank="1" showInputMessage="1" showErrorMessage="1" error="Número inválido. Podem ser preenchidos números com até duas casas decimais." prompt="Quantidade anual consumida de calcário dolomítico na área total de milho, dividida pelo valor informado no campo Produção Total" sqref="D99" xr:uid="{00000000-0002-0000-0900-00003B000000}">
      <formula1>IF(AND(D99&gt;=0,D99=ROUND(D99,2)),D99,"")</formula1>
    </dataValidation>
    <dataValidation type="custom" allowBlank="1" showInputMessage="1" showErrorMessage="1" error="Número inválido. Podem ser preenchidos números com até duas casas decimais." prompt="Quantidade anual consumida de gesso na área total de milho, dividida pelo valor informado no campo Produção Total" sqref="D100" xr:uid="{00000000-0002-0000-0900-00003C000000}">
      <formula1>IF(AND(D100&gt;=0,D100=ROUND(D100,2)),D100,"")</formula1>
    </dataValidation>
    <dataValidation type="custom" allowBlank="1" showInputMessage="1" showErrorMessage="1" error="Número inválido. Podem ser preenchidos números com até duas casas decimais." prompt="Quantidade anual consumida de sementes na área total de milho, dividida pelo valor informado no campo Produção Total" sqref="D103" xr:uid="{00000000-0002-0000-0900-00003D000000}">
      <formula1>IF(AND(D103&gt;=0,D103=ROUND(D103,2)),D103,"")</formula1>
    </dataValidation>
    <dataValidation type="custom" allowBlank="1" showInputMessage="1" showErrorMessage="1" error="Número inválido. Podem ser preenchidos números com até duas casas decimais." prompt="Quantidade anual consumida do elemento N por fonte na área total de milho, dividida pelo valor informado no campo Produção Total" sqref="D106:D107 D109 D111:D115 D119" xr:uid="{00000000-0002-0000-0900-00003E000000}">
      <formula1>IF(AND(D106&gt;=0,D106=ROUND(D106,2)),D106,"")</formula1>
    </dataValidation>
    <dataValidation type="custom" allowBlank="1" showInputMessage="1" showErrorMessage="1" error="Número inválido. Podem ser preenchidos números com até duas casas decimais." prompt="Quantidade anual consumida de P₂O₅ por fonte na área total de milho, dividida pelo valor informado no campo Produção Total _x000a_" sqref="D108 D110 D116:D117 D120" xr:uid="{00000000-0002-0000-0900-00003F000000}">
      <formula1>IF(AND(D108&gt;=0,D108=ROUND(D108,2)),D108,"")</formula1>
    </dataValidation>
    <dataValidation type="custom" allowBlank="1" showInputMessage="1" showErrorMessage="1" error="Número inválido. Podem ser preenchidos números com até duas casas decimais." prompt="Quantidade anual consumida de K₂O por fonte na área total de milho, dividida pelo valor informado no campo Produção Total " sqref="D118 D121" xr:uid="{00000000-0002-0000-0900-000040000000}">
      <formula1>IF(AND(D118&gt;=0,D118=ROUND(D118,2)),D118,"")</formula1>
    </dataValidation>
    <dataValidation type="custom" allowBlank="1" showInputMessage="1" showErrorMessage="1" error="Número inválido. Podem ser preenchidos números com até duas casas decimais." prompt="Quantidade total anual do fertilizante especificado na coluna à esquerda utilizada na área total dividida pelo valor informado no campo Produção Total" sqref="D124:D128" xr:uid="{00000000-0002-0000-0900-000041000000}">
      <formula1>IF(AND(D124&gt;=0,D124=ROUND(D124,2)),D124,"")</formula1>
    </dataValidation>
    <dataValidation type="custom" allowBlank="1" showInputMessage="1" showErrorMessage="1" error="Número inválido. Podem ser preenchidos números com até duas casas decimais." prompt="Quantidade total anual de combustíveis (soma do consumo nas operações agrícolas, irrigação, transportes de milho, deslocamento de pessoas, etc) na área total de milho dividida pelo valor informado em Produção Total" sqref="D131:D140" xr:uid="{00000000-0002-0000-0900-000042000000}">
      <formula1>IF(AND(D131&gt;=0,D131=ROUND(D131,2)),D131,"")</formula1>
    </dataValidation>
    <dataValidation type="custom" allowBlank="1" showInputMessage="1" showErrorMessage="1" error="Número inválido. Podem ser preenchidos números com até duas casas decimais." prompt="Quantidade total anual de eletricidade consumida na área total de milho dividida pelo valor informado no campo Produção Total" sqref="D141:D145" xr:uid="{00000000-0002-0000-0900-000043000000}">
      <formula1>IF(AND(D141&gt;=0,D141=ROUND(D141,2)),D141,"")</formula1>
    </dataValidation>
    <dataValidation type="custom" allowBlank="1" showInputMessage="1" showErrorMessage="1" error="Número inválido. Podem ser preenchidos números com até duas casas decimais." prompt="Quantidade total anual de cana que chega na usina (soma de colmos, impurezas vegetais e minerais). Este parâmetro deve ser reportado em base úmida." sqref="D151 D153" xr:uid="{00000000-0002-0000-0900-000044000000}">
      <formula1>IF(AND(D151&gt;=0,D151=ROUND(D151,2)),D151,"")</formula1>
    </dataValidation>
    <dataValidation type="custom" allowBlank="1" showInputMessage="1" showErrorMessage="1" error="Número inválido. Podem ser preenchidos números com até duas casas decimais." prompt="Quantidade total anual de palha processada na usina. Este parâmetro refere-se à palha recolhida separadamente da cana (por exemplo, palha enfardada, palha recolhida por forrageira, entre outros). Deve ser reportado em base seca." sqref="D152" xr:uid="{00000000-0002-0000-0900-000045000000}">
      <formula1>IF(AND(D152&gt;=0,D152=ROUND(D152,2)),D152,"")</formula1>
    </dataValidation>
    <dataValidation type="custom" allowBlank="1" showInputMessage="1" showErrorMessage="1" error="Número inválido. Podem ser preenchidos números com até duas casas decimais." prompt="Refere-se à distância média ponderada de transporte do milho do armazém até a usina." sqref="D154" xr:uid="{00000000-0002-0000-0900-000046000000}">
      <formula1>IF(AND(D154&gt;=0,D154=ROUND(D154,2)),D154,"")</formula1>
    </dataValidation>
    <dataValidation type="custom" allowBlank="1" showInputMessage="1" showErrorMessage="1" error="Número inválido. Podem ser preenchidos números com até duas casas decimais." prompt="Refere-se ao volume total (corrigido para a temperatura de 20 °C) de etanol anidro produzido anualmente._x000a_" sqref="D155" xr:uid="{00000000-0002-0000-0900-000047000000}">
      <formula1>IF(AND(D155&gt;=0,D155=ROUND(D155,2)),D155,"")</formula1>
    </dataValidation>
    <dataValidation type="custom" allowBlank="1" showInputMessage="1" showErrorMessage="1" error="Número inválido. Podem ser preenchidos números com até duas casas decimais." prompt="Refere-se ao volume total (corrigido para a temperatura de 20 °C) de etanol hidratado produzido anualmente._x000a_" sqref="D156" xr:uid="{00000000-0002-0000-0900-000048000000}">
      <formula1>IF(AND(D156&gt;=0,D156=ROUND(D156,2)),D156,"")</formula1>
    </dataValidation>
    <dataValidation type="custom" allowBlank="1" showInputMessage="1" showErrorMessage="1" error="Número inválido. Podem ser preenchidos números com até duas casas decimais." prompt="Refere-se à massa total de açúcar produzido anualmente." sqref="D157" xr:uid="{00000000-0002-0000-0900-000049000000}">
      <formula1>IF(AND(D157&gt;=0,D157=ROUND(D157,2)),D157,"")</formula1>
    </dataValidation>
    <dataValidation type="custom" allowBlank="1" showInputMessage="1" showErrorMessage="1" error="Número inválido. Podem ser preenchidos números com até duas casas decimais." prompt="Refere-se à quantidade total de eletricidade comercializada anualmente." sqref="D158" xr:uid="{00000000-0002-0000-0900-00004A000000}">
      <formula1>IF(AND(D158&gt;=0,D158=ROUND(D158,2)),D158,"")</formula1>
    </dataValidation>
    <dataValidation type="custom" allowBlank="1" showInputMessage="1" showErrorMessage="1" error="Número inválido. Podem ser preenchidos números com até duas casas decimais." prompt="Refere-se à massa total de DDG produzido anualmente. Deve ser reportado em base úmida." sqref="D159" xr:uid="{00000000-0002-0000-0900-00004B000000}">
      <formula1>IF(AND(D159&gt;=0,D159=ROUND(D159,2)),D159,"")</formula1>
    </dataValidation>
    <dataValidation type="custom" allowBlank="1" showInputMessage="1" showErrorMessage="1" error="Número inválido. Podem ser preenchidos números com até duas casas decimais." prompt="Refere-se à massa total de DDGS produzido anualmente. Deve ser reportado em base úmida." sqref="D160" xr:uid="{00000000-0002-0000-0900-00004C000000}">
      <formula1>IF(AND(D160&gt;=0,D160=ROUND(D160,2)),D160,"")</formula1>
    </dataValidation>
    <dataValidation type="custom" allowBlank="1" showInputMessage="1" showErrorMessage="1" error="Número inválido. Podem ser preenchidos números com até duas casas decimais." prompt="Refere-se à massa total de CGM produzido anualmente. Deve ser reportado em base úmida." sqref="D161" xr:uid="{00000000-0002-0000-0900-00004D000000}">
      <formula1>IF(AND(D161&gt;=0,D161=ROUND(D161,2)),D161,"")</formula1>
    </dataValidation>
    <dataValidation type="custom" allowBlank="1" showInputMessage="1" showErrorMessage="1" error="Número inválido. Podem ser preenchidos números com até duas casas decimais." prompt="Refere-se à massa total de CGF produzido anualmente. Deve ser reportado em base úmida." sqref="D162" xr:uid="{00000000-0002-0000-0900-00004E000000}">
      <formula1>IF(AND(D162&gt;=0,D162=ROUND(D162,2)),D162,"")</formula1>
    </dataValidation>
    <dataValidation type="custom" allowBlank="1" showInputMessage="1" showErrorMessage="1" error="Número inválido. Podem ser preenchidos números com até duas casas decimais." prompt="Refere-se à massa total de Óleo de Milho produzido anualmente." sqref="D163" xr:uid="{00000000-0002-0000-0900-00004F000000}">
      <formula1>IF(AND(D163&gt;=0,D163=ROUND(D163,2)),D163,"")</formula1>
    </dataValidation>
    <dataValidation type="custom" allowBlank="1" showInputMessage="1" showErrorMessage="1" error="Número inválido. Podem ser preenchidos números com até duas casas decimais." prompt="Refere-se à massa total de bagaço comercializado anualmente. Deve ser reportado em base úmida. " sqref="D164" xr:uid="{00000000-0002-0000-0900-000050000000}">
      <formula1>IF(AND(D164&gt;=0,D164=ROUND(D164,2)),D164,"")</formula1>
    </dataValidation>
    <dataValidation type="custom" allowBlank="1" showInputMessage="1" showErrorMessage="1" error="Número inválido. Podem ser preenchidos números com até duas casas decimais." prompt="Refere-se à quantidade total de bagaço produzido na usina anualmente utilizado para geração de vapor/eletricidade. Deve ser reportado em base úmida." sqref="D168" xr:uid="{00000000-0002-0000-0900-000051000000}">
      <formula1>IF(AND(D168&gt;=0,D168=ROUND(D168,2)),D168,"")</formula1>
    </dataValidation>
    <dataValidation type="custom" allowBlank="1" showInputMessage="1" showErrorMessage="1" error="Número inválido. Podem ser preenchidos números com até duas casas decimais." prompt="Refere-se à quantidade total anual de bagaço adquirido pela usina e utilizado para geração de vapor/eletricidade. Deve ser reportado em base úmida." sqref="D176" xr:uid="{00000000-0002-0000-0900-000052000000}">
      <formula1>IF(AND(D176&gt;=0,D176=ROUND(D176,2)),D176,"")</formula1>
    </dataValidation>
    <dataValidation type="custom" allowBlank="1" showInputMessage="1" showErrorMessage="1" error="Número inválido. Podem ser preenchidos números com até duas casas decimais." prompt="Refere-se à distância média ponderada de transporte do bagaço entre o fornecedor e a usina." sqref="D178" xr:uid="{00000000-0002-0000-0900-000053000000}">
      <formula1>IF(AND(D178&gt;=0,D178=ROUND(D178,2)),D178,"")</formula1>
    </dataValidation>
    <dataValidation type="custom" allowBlank="1" showInputMessage="1" showErrorMessage="1" error="Número inválido. Podem ser preenchidos números com até duas casas decimais." prompt="Refere-se à quantidade total anual de palha adquirida pela usina e utilizada para geração de vapor/eletricidade. Deve ser reportada em base úmida." sqref="D181" xr:uid="{00000000-0002-0000-0900-000054000000}">
      <formula1>IF(AND(D181&gt;=0,D181=ROUND(D181,2)),D181,"")</formula1>
    </dataValidation>
    <dataValidation type="custom" allowBlank="1" showInputMessage="1" showErrorMessage="1" error="Número inválido. Podem ser preenchidos números com até duas casas decimais." prompt="Refere-se à distância média ponderada de transporte da palha entre o fornecedor e a usina." sqref="D183" xr:uid="{00000000-0002-0000-0900-000055000000}">
      <formula1>IF(AND(D183&gt;=0,D183=ROUND(D183,2)),D183,"")</formula1>
    </dataValidation>
    <dataValidation type="custom" allowBlank="1" showInputMessage="1" showErrorMessage="1" error="Número inválido. Podem ser preenchidos números com até duas casas decimais." prompt="Refere-se à quantidade total anual de cavaco de madeira adquirido pela usina e utilizado para geração de vapor/eletricidade. Deve ser reportado em base úmida." sqref="D186" xr:uid="{00000000-0002-0000-0900-000056000000}">
      <formula1>IF(AND(D186&gt;=0,D186=ROUND(D186,2)),D186,"")</formula1>
    </dataValidation>
    <dataValidation type="custom" allowBlank="1" showInputMessage="1" showErrorMessage="1" error="Número inválido. Podem ser preenchidos números com até duas casas decimais." prompt="Refere-se à distância média ponderada de transporte do cavaco de madeira entre o fornecedor e a usina." sqref="D188" xr:uid="{00000000-0002-0000-0900-000057000000}">
      <formula1>IF(AND(D188&gt;=0,D188=ROUND(D188,2)),D188,"")</formula1>
    </dataValidation>
    <dataValidation type="custom" allowBlank="1" showInputMessage="1" showErrorMessage="1" error="Número inválido. Podem ser preenchidos números com até duas casas decimais." prompt="Refere-se à quantidade total anual de lenha adquirida pela usina e utilizado para geração de vapor/eletricidade. Deve ser reportado em base úmida." sqref="D191" xr:uid="{00000000-0002-0000-0900-000058000000}">
      <formula1>IF(AND(D191&gt;=0,D191=ROUND(D191,2)),D191,"")</formula1>
    </dataValidation>
    <dataValidation type="custom" allowBlank="1" showInputMessage="1" showErrorMessage="1" error="Número inválido. Podem ser preenchidos números com até duas casas decimais." prompt="Refere-se à distância média ponderada de transporte da lenha entre o fornecedor e a usina." sqref="D193" xr:uid="{00000000-0002-0000-0900-000059000000}">
      <formula1>IF(AND(D193&gt;=0,D193=ROUND(D193,2)),D193,"")</formula1>
    </dataValidation>
    <dataValidation type="custom" allowBlank="1" showInputMessage="1" showErrorMessage="1" error="Número inválido. Podem ser preenchidos números com até duas casas decimais." prompt="Refere-se à quantidade total anual de resíduos florestais adquirida pela usina e utilizado para geração de vapor/eletricidade. Deve ser reportado em base úmida." sqref="D196" xr:uid="{00000000-0002-0000-0900-00005A000000}">
      <formula1>IF(AND(D196&gt;=0,D196=ROUND(D196,2)),D196,"")</formula1>
    </dataValidation>
    <dataValidation type="custom" allowBlank="1" showInputMessage="1" showErrorMessage="1" error="Número inválido. Podem ser preenchidos números com até duas casas decimais." prompt="Refere-se à distância média ponderada de transporte dos resíduos florestais entre o fornecedor e a usina." sqref="D198" xr:uid="{00000000-0002-0000-0900-00005B000000}">
      <formula1>IF(AND(D198&gt;=0,D198=ROUND(D198,2)),D198,"")</formula1>
    </dataValidation>
    <dataValidation type="custom" allowBlank="1" showInputMessage="1" showErrorMessage="1" error="Número inválido. Podem ser preenchidos números com até duas casas decimais." prompt="Refere-se ao consumo total anual de combustíveis, por fonte." sqref="D200:D202" xr:uid="{00000000-0002-0000-0900-00005C000000}">
      <formula1>IF(AND(D200&gt;=0,D200=ROUND(D200,2)),D200,"")</formula1>
    </dataValidation>
    <dataValidation type="custom" allowBlank="1" showInputMessage="1" showErrorMessage="1" error="Número inválido. Podem ser preenchidos números com até duas casas decimais." prompt="Refere-se ao consumo total de combustíveis, por fonte, dividido pela quantidade total de cana processada. Biogás/biometano próprio refere-se ao biogás/biometano produzido na mesma unidade de produção, usando residuos disponíveis nessa unidade." sqref="D203" xr:uid="{00000000-0002-0000-0900-00005D000000}">
      <formula1>IF(AND(D203&gt;=0,D203=ROUND(D203,2)),D203,"")</formula1>
    </dataValidation>
    <dataValidation type="custom" allowBlank="1" showInputMessage="1" showErrorMessage="1" error="Número inválido. Podem ser preenchidos números com até duas casas decimais." prompt="Refere-se ao consumo total de combustíveis, por fonte, dividido pela quantidade total de cana processada." sqref="D204:D211" xr:uid="{00000000-0002-0000-0900-00005E000000}">
      <formula1>IF(AND(D204&gt;=0,D204=ROUND(D204,2)),D204,"")</formula1>
    </dataValidation>
    <dataValidation type="custom" allowBlank="1" showInputMessage="1" showErrorMessage="1" error="Número inválido. Podem ser preenchidos números com até duas casas decimais." prompt="Refere-se ao consumo total anual de eletricidade, por fonte." sqref="D212:D216" xr:uid="{00000000-0002-0000-0900-00005F000000}">
      <formula1>IF(AND(D212&gt;=0,D212=ROUND(D212,2)),D212,"")</formula1>
    </dataValidation>
    <dataValidation allowBlank="1" showErrorMessage="1" sqref="D94 G94 D31" xr:uid="{00000000-0002-0000-0900-000060000000}"/>
  </dataValidations>
  <pageMargins left="0.511811024" right="0.511811024" top="0.78740157499999996" bottom="0.78740157499999996" header="0.31496062000000002" footer="0.31496062000000002"/>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35">
    <tabColor rgb="FF265EAA"/>
  </sheetPr>
  <dimension ref="A2:J415"/>
  <sheetViews>
    <sheetView showGridLines="0" topLeftCell="A151" workbookViewId="0">
      <selection activeCell="D170" sqref="D170"/>
    </sheetView>
  </sheetViews>
  <sheetFormatPr defaultColWidth="9.140625" defaultRowHeight="15" outlineLevelRow="1" x14ac:dyDescent="0.25"/>
  <cols>
    <col min="1" max="1" width="5.7109375" style="71" customWidth="1"/>
    <col min="2" max="2" width="50.7109375" style="70" customWidth="1"/>
    <col min="3" max="4" width="15.7109375" style="70" customWidth="1"/>
    <col min="5" max="5" width="15.7109375" style="71" customWidth="1"/>
    <col min="6" max="6" width="15.7109375" style="230" customWidth="1"/>
    <col min="7" max="7" width="2.7109375" style="230" customWidth="1"/>
    <col min="8" max="8" width="17.85546875" style="70" customWidth="1"/>
    <col min="9" max="9" width="20.140625" style="71" customWidth="1"/>
    <col min="10" max="16384" width="9.140625" style="70"/>
  </cols>
  <sheetData>
    <row r="2" spans="1:9" ht="25.5" customHeight="1" x14ac:dyDescent="0.25">
      <c r="B2" s="741" t="s">
        <v>537</v>
      </c>
      <c r="C2" s="741"/>
      <c r="D2" s="741"/>
      <c r="E2" s="741"/>
      <c r="F2" s="741"/>
      <c r="G2" s="453"/>
    </row>
    <row r="3" spans="1:9" x14ac:dyDescent="0.25">
      <c r="B3" s="279"/>
      <c r="C3" s="739" t="s">
        <v>179</v>
      </c>
      <c r="D3" s="739"/>
      <c r="E3" s="739" t="s">
        <v>177</v>
      </c>
      <c r="F3" s="739"/>
      <c r="G3" s="583"/>
    </row>
    <row r="4" spans="1:9" ht="18.600000000000001" customHeight="1" x14ac:dyDescent="0.25">
      <c r="B4" s="307" t="s">
        <v>536</v>
      </c>
      <c r="C4" s="738" t="e">
        <f>SUM(C5:C9)</f>
        <v>#DIV/0!</v>
      </c>
      <c r="D4" s="738"/>
      <c r="E4" s="738" t="e">
        <f>SUM(E5:E9)</f>
        <v>#DIV/0!</v>
      </c>
      <c r="F4" s="738"/>
      <c r="G4" s="584"/>
    </row>
    <row r="5" spans="1:9" x14ac:dyDescent="0.25">
      <c r="B5" s="273" t="s">
        <v>781</v>
      </c>
      <c r="C5" s="237" t="e">
        <f>$H$87</f>
        <v>#DIV/0!</v>
      </c>
      <c r="D5" s="258" t="e">
        <f>C5/$C$4</f>
        <v>#DIV/0!</v>
      </c>
      <c r="E5" s="237" t="e">
        <f>$I$87</f>
        <v>#DIV/0!</v>
      </c>
      <c r="F5" s="258" t="e">
        <f>E5/$E$4</f>
        <v>#DIV/0!</v>
      </c>
      <c r="G5" s="585"/>
    </row>
    <row r="6" spans="1:9" x14ac:dyDescent="0.25">
      <c r="B6" s="273" t="s">
        <v>780</v>
      </c>
      <c r="C6" s="237" t="e">
        <f>$H$166</f>
        <v>#DIV/0!</v>
      </c>
      <c r="D6" s="258" t="e">
        <f>C6/$C$4</f>
        <v>#DIV/0!</v>
      </c>
      <c r="E6" s="237" t="e">
        <f>$I$166</f>
        <v>#DIV/0!</v>
      </c>
      <c r="F6" s="258" t="e">
        <f t="shared" ref="F6:F7" si="0">E6/$E$4</f>
        <v>#DIV/0!</v>
      </c>
      <c r="G6" s="585"/>
    </row>
    <row r="7" spans="1:9" x14ac:dyDescent="0.25">
      <c r="B7" s="273" t="s">
        <v>181</v>
      </c>
      <c r="C7" s="237" t="e">
        <f>($H$240-$H$182-$H$183)</f>
        <v>#DIV/0!</v>
      </c>
      <c r="D7" s="258" t="e">
        <f t="shared" ref="D7:D9" si="1">C7/$C$4</f>
        <v>#DIV/0!</v>
      </c>
      <c r="E7" s="237" t="e">
        <f>($I$240-$I$182-$I$183)</f>
        <v>#DIV/0!</v>
      </c>
      <c r="F7" s="258" t="e">
        <f t="shared" si="0"/>
        <v>#DIV/0!</v>
      </c>
      <c r="G7" s="585"/>
    </row>
    <row r="8" spans="1:9" x14ac:dyDescent="0.25">
      <c r="B8" s="273" t="s">
        <v>170</v>
      </c>
      <c r="C8" s="237" t="e">
        <f>$D$270</f>
        <v>#DIV/0!</v>
      </c>
      <c r="D8" s="258" t="e">
        <f t="shared" si="1"/>
        <v>#DIV/0!</v>
      </c>
      <c r="E8" s="237" t="e">
        <f>$E$270</f>
        <v>#DIV/0!</v>
      </c>
      <c r="F8" s="258" t="e">
        <f>E8/$E$4</f>
        <v>#DIV/0!</v>
      </c>
      <c r="G8" s="585"/>
    </row>
    <row r="9" spans="1:9" x14ac:dyDescent="0.25">
      <c r="B9" s="273" t="s">
        <v>63</v>
      </c>
      <c r="C9" s="237">
        <f>'FE''s queima combustíveis'!$I$7</f>
        <v>0.43899999999999995</v>
      </c>
      <c r="D9" s="258" t="e">
        <f t="shared" si="1"/>
        <v>#DIV/0!</v>
      </c>
      <c r="E9" s="237">
        <f>'FE''s queima combustíveis'!$I$8</f>
        <v>0.66300000000000003</v>
      </c>
      <c r="F9" s="258" t="e">
        <f>E9/$E$4</f>
        <v>#DIV/0!</v>
      </c>
      <c r="G9" s="585"/>
    </row>
    <row r="12" spans="1:9" ht="22.5" customHeight="1" x14ac:dyDescent="0.25">
      <c r="A12" s="230"/>
      <c r="B12" s="741" t="s">
        <v>501</v>
      </c>
      <c r="C12" s="741"/>
      <c r="D12" s="741"/>
      <c r="E12" s="741"/>
      <c r="F12" s="741"/>
      <c r="G12" s="453"/>
      <c r="H12" s="740" t="s">
        <v>936</v>
      </c>
      <c r="I12" s="740" t="s">
        <v>937</v>
      </c>
    </row>
    <row r="13" spans="1:9" ht="18" x14ac:dyDescent="0.25">
      <c r="A13" s="230"/>
      <c r="B13" s="279" t="s">
        <v>510</v>
      </c>
      <c r="C13" s="381"/>
      <c r="D13" s="381" t="s">
        <v>51</v>
      </c>
      <c r="E13" s="381" t="s">
        <v>507</v>
      </c>
      <c r="F13" s="381"/>
      <c r="G13" s="583"/>
      <c r="H13" s="740"/>
      <c r="I13" s="740"/>
    </row>
    <row r="14" spans="1:9" x14ac:dyDescent="0.25">
      <c r="A14" s="230"/>
      <c r="B14" s="273" t="s">
        <v>414</v>
      </c>
      <c r="C14" s="273" t="s">
        <v>1</v>
      </c>
      <c r="D14" s="247" t="e">
        <f>('E1G Flex'!V30/'E1G Flex'!V28)*1000</f>
        <v>#DIV/0!</v>
      </c>
      <c r="E14" s="232">
        <v>1000</v>
      </c>
      <c r="F14" s="233"/>
      <c r="G14" s="586"/>
      <c r="H14" s="740"/>
      <c r="I14" s="740"/>
    </row>
    <row r="15" spans="1:9" ht="18" x14ac:dyDescent="0.25">
      <c r="A15" s="230"/>
      <c r="B15" s="281" t="s">
        <v>511</v>
      </c>
      <c r="C15" s="381"/>
      <c r="D15" s="381" t="s">
        <v>51</v>
      </c>
      <c r="E15" s="381" t="s">
        <v>507</v>
      </c>
      <c r="F15" s="282"/>
      <c r="G15" s="587"/>
      <c r="H15" s="740"/>
      <c r="I15" s="740"/>
    </row>
    <row r="16" spans="1:9" x14ac:dyDescent="0.25">
      <c r="A16" s="230"/>
      <c r="B16" s="273" t="s">
        <v>413</v>
      </c>
      <c r="C16" s="273" t="s">
        <v>36</v>
      </c>
      <c r="D16" s="232">
        <v>1</v>
      </c>
      <c r="E16" s="235" t="e">
        <f>(D16*E14)/D14</f>
        <v>#DIV/0!</v>
      </c>
      <c r="F16" s="236"/>
      <c r="G16" s="588"/>
      <c r="H16" s="740"/>
      <c r="I16" s="740"/>
    </row>
    <row r="17" spans="1:9" ht="18" x14ac:dyDescent="0.25">
      <c r="A17" s="230"/>
      <c r="B17" s="281" t="s">
        <v>60</v>
      </c>
      <c r="C17" s="381"/>
      <c r="D17" s="381" t="s">
        <v>51</v>
      </c>
      <c r="E17" s="381" t="s">
        <v>507</v>
      </c>
      <c r="F17" s="283" t="s">
        <v>508</v>
      </c>
      <c r="G17" s="272"/>
      <c r="H17" s="283" t="s">
        <v>535</v>
      </c>
      <c r="I17" s="283" t="s">
        <v>535</v>
      </c>
    </row>
    <row r="18" spans="1:9" x14ac:dyDescent="0.25">
      <c r="A18" s="230"/>
      <c r="B18" s="284" t="s">
        <v>419</v>
      </c>
      <c r="C18" s="285"/>
      <c r="D18" s="285"/>
      <c r="E18" s="286"/>
      <c r="F18" s="287"/>
      <c r="G18" s="589"/>
      <c r="H18" s="287"/>
      <c r="I18" s="287"/>
    </row>
    <row r="19" spans="1:9" x14ac:dyDescent="0.25">
      <c r="A19" s="230"/>
      <c r="B19" s="273" t="s">
        <v>164</v>
      </c>
      <c r="C19" s="273" t="s">
        <v>1</v>
      </c>
      <c r="D19" s="232"/>
      <c r="E19" s="237">
        <f>'E1G Flex'!V41</f>
        <v>0</v>
      </c>
      <c r="F19" s="238">
        <f>E19*'Dados auxiliares'!$H$52</f>
        <v>0</v>
      </c>
      <c r="G19" s="590"/>
      <c r="H19" s="294" t="e">
        <f t="shared" ref="H19:H41" si="2">(F19/$E$171)*$F$171</f>
        <v>#DIV/0!</v>
      </c>
      <c r="I19" s="294" t="e">
        <f t="shared" ref="I19:I41" si="3">(F19/$E$172)*$F$172</f>
        <v>#DIV/0!</v>
      </c>
    </row>
    <row r="20" spans="1:9" x14ac:dyDescent="0.25">
      <c r="A20" s="230"/>
      <c r="B20" s="273" t="s">
        <v>163</v>
      </c>
      <c r="C20" s="273" t="s">
        <v>1</v>
      </c>
      <c r="D20" s="232"/>
      <c r="E20" s="237">
        <f>'E1G Flex'!V42</f>
        <v>0</v>
      </c>
      <c r="F20" s="238">
        <f>E20*'Dados auxiliares'!$H$53</f>
        <v>0</v>
      </c>
      <c r="G20" s="590"/>
      <c r="H20" s="294" t="e">
        <f t="shared" si="2"/>
        <v>#DIV/0!</v>
      </c>
      <c r="I20" s="294" t="e">
        <f t="shared" si="3"/>
        <v>#DIV/0!</v>
      </c>
    </row>
    <row r="21" spans="1:9" x14ac:dyDescent="0.25">
      <c r="A21" s="230"/>
      <c r="B21" s="273" t="s">
        <v>28</v>
      </c>
      <c r="C21" s="273" t="s">
        <v>1</v>
      </c>
      <c r="D21" s="232"/>
      <c r="E21" s="237">
        <f>'E1G Flex'!V43</f>
        <v>0</v>
      </c>
      <c r="F21" s="238">
        <f>E21*'Dados auxiliares'!$H$54</f>
        <v>0</v>
      </c>
      <c r="G21" s="590"/>
      <c r="H21" s="294" t="e">
        <f t="shared" si="2"/>
        <v>#DIV/0!</v>
      </c>
      <c r="I21" s="294" t="e">
        <f t="shared" si="3"/>
        <v>#DIV/0!</v>
      </c>
    </row>
    <row r="22" spans="1:9" x14ac:dyDescent="0.25">
      <c r="A22" s="230"/>
      <c r="B22" s="273" t="s">
        <v>393</v>
      </c>
      <c r="C22" s="273" t="s">
        <v>409</v>
      </c>
      <c r="D22" s="232"/>
      <c r="E22" s="237">
        <f>'E1G Flex'!V46</f>
        <v>0</v>
      </c>
      <c r="F22" s="238">
        <f>E22*'Dados auxiliares'!$H$55</f>
        <v>0</v>
      </c>
      <c r="G22" s="590"/>
      <c r="H22" s="294" t="e">
        <f t="shared" si="2"/>
        <v>#DIV/0!</v>
      </c>
      <c r="I22" s="294" t="e">
        <f t="shared" si="3"/>
        <v>#DIV/0!</v>
      </c>
    </row>
    <row r="23" spans="1:9" x14ac:dyDescent="0.25">
      <c r="A23" s="230"/>
      <c r="B23" s="273" t="s">
        <v>551</v>
      </c>
      <c r="C23" s="273" t="s">
        <v>409</v>
      </c>
      <c r="D23" s="232"/>
      <c r="E23" s="237">
        <f>'E1G Flex'!V47</f>
        <v>0</v>
      </c>
      <c r="F23" s="238">
        <f>E23*'Dados auxiliares'!$H$56</f>
        <v>0</v>
      </c>
      <c r="G23" s="590"/>
      <c r="H23" s="294" t="e">
        <f t="shared" si="2"/>
        <v>#DIV/0!</v>
      </c>
      <c r="I23" s="294" t="e">
        <f t="shared" si="3"/>
        <v>#DIV/0!</v>
      </c>
    </row>
    <row r="24" spans="1:9" x14ac:dyDescent="0.25">
      <c r="A24" s="230"/>
      <c r="B24" s="273" t="s">
        <v>558</v>
      </c>
      <c r="C24" s="273" t="s">
        <v>410</v>
      </c>
      <c r="D24" s="232"/>
      <c r="E24" s="237">
        <f>'E1G Flex'!V48</f>
        <v>0</v>
      </c>
      <c r="F24" s="238">
        <f>E24*'Dados auxiliares'!$H$57</f>
        <v>0</v>
      </c>
      <c r="G24" s="590"/>
      <c r="H24" s="294" t="e">
        <f t="shared" si="2"/>
        <v>#DIV/0!</v>
      </c>
      <c r="I24" s="294" t="e">
        <f t="shared" si="3"/>
        <v>#DIV/0!</v>
      </c>
    </row>
    <row r="25" spans="1:9" x14ac:dyDescent="0.25">
      <c r="A25" s="230"/>
      <c r="B25" s="273" t="s">
        <v>553</v>
      </c>
      <c r="C25" s="273" t="s">
        <v>409</v>
      </c>
      <c r="D25" s="232"/>
      <c r="E25" s="237">
        <f>'E1G Flex'!V49</f>
        <v>0</v>
      </c>
      <c r="F25" s="238">
        <f>E25*'Dados auxiliares'!$H$58</f>
        <v>0</v>
      </c>
      <c r="G25" s="590"/>
      <c r="H25" s="294" t="e">
        <f t="shared" si="2"/>
        <v>#DIV/0!</v>
      </c>
      <c r="I25" s="294" t="e">
        <f t="shared" si="3"/>
        <v>#DIV/0!</v>
      </c>
    </row>
    <row r="26" spans="1:9" x14ac:dyDescent="0.25">
      <c r="A26" s="230"/>
      <c r="B26" s="273" t="s">
        <v>559</v>
      </c>
      <c r="C26" s="273" t="s">
        <v>410</v>
      </c>
      <c r="D26" s="232"/>
      <c r="E26" s="237">
        <f>'E1G Flex'!V50</f>
        <v>0</v>
      </c>
      <c r="F26" s="238">
        <f>E26*'Dados auxiliares'!$H$59</f>
        <v>0</v>
      </c>
      <c r="G26" s="590"/>
      <c r="H26" s="294" t="e">
        <f t="shared" si="2"/>
        <v>#DIV/0!</v>
      </c>
      <c r="I26" s="294" t="e">
        <f t="shared" si="3"/>
        <v>#DIV/0!</v>
      </c>
    </row>
    <row r="27" spans="1:9" x14ac:dyDescent="0.25">
      <c r="A27" s="230"/>
      <c r="B27" s="273" t="s">
        <v>554</v>
      </c>
      <c r="C27" s="273" t="s">
        <v>409</v>
      </c>
      <c r="D27" s="232"/>
      <c r="E27" s="237">
        <f>'E1G Flex'!V51</f>
        <v>0</v>
      </c>
      <c r="F27" s="238">
        <f>E27*'Dados auxiliares'!$H$60</f>
        <v>0</v>
      </c>
      <c r="G27" s="590"/>
      <c r="H27" s="294" t="e">
        <f t="shared" si="2"/>
        <v>#DIV/0!</v>
      </c>
      <c r="I27" s="294" t="e">
        <f t="shared" si="3"/>
        <v>#DIV/0!</v>
      </c>
    </row>
    <row r="28" spans="1:9" x14ac:dyDescent="0.25">
      <c r="A28" s="230"/>
      <c r="B28" s="273" t="s">
        <v>555</v>
      </c>
      <c r="C28" s="273" t="s">
        <v>409</v>
      </c>
      <c r="D28" s="232"/>
      <c r="E28" s="237">
        <f>'E1G Flex'!V52</f>
        <v>0</v>
      </c>
      <c r="F28" s="238">
        <f>E28*'Dados auxiliares'!$H$61</f>
        <v>0</v>
      </c>
      <c r="G28" s="590"/>
      <c r="H28" s="294" t="e">
        <f t="shared" si="2"/>
        <v>#DIV/0!</v>
      </c>
      <c r="I28" s="294" t="e">
        <f t="shared" si="3"/>
        <v>#DIV/0!</v>
      </c>
    </row>
    <row r="29" spans="1:9" x14ac:dyDescent="0.25">
      <c r="A29" s="230"/>
      <c r="B29" s="273" t="s">
        <v>399</v>
      </c>
      <c r="C29" s="273" t="s">
        <v>409</v>
      </c>
      <c r="D29" s="232"/>
      <c r="E29" s="237">
        <f>'E1G Flex'!V53</f>
        <v>0</v>
      </c>
      <c r="F29" s="238">
        <f>E29*'Dados auxiliares'!$H$62</f>
        <v>0</v>
      </c>
      <c r="G29" s="590"/>
      <c r="H29" s="294" t="e">
        <f t="shared" si="2"/>
        <v>#DIV/0!</v>
      </c>
      <c r="I29" s="294" t="e">
        <f t="shared" si="3"/>
        <v>#DIV/0!</v>
      </c>
    </row>
    <row r="30" spans="1:9" x14ac:dyDescent="0.25">
      <c r="A30" s="230"/>
      <c r="B30" s="273" t="s">
        <v>556</v>
      </c>
      <c r="C30" s="273" t="s">
        <v>409</v>
      </c>
      <c r="D30" s="232"/>
      <c r="E30" s="237">
        <f>'E1G Flex'!V54</f>
        <v>0</v>
      </c>
      <c r="F30" s="238">
        <f>E30*'Dados auxiliares'!$H$63</f>
        <v>0</v>
      </c>
      <c r="G30" s="590"/>
      <c r="H30" s="294" t="e">
        <f t="shared" si="2"/>
        <v>#DIV/0!</v>
      </c>
      <c r="I30" s="294" t="e">
        <f t="shared" si="3"/>
        <v>#DIV/0!</v>
      </c>
    </row>
    <row r="31" spans="1:9" x14ac:dyDescent="0.25">
      <c r="A31" s="230"/>
      <c r="B31" s="273" t="s">
        <v>557</v>
      </c>
      <c r="C31" s="273" t="s">
        <v>409</v>
      </c>
      <c r="D31" s="232"/>
      <c r="E31" s="237">
        <f>'E1G Flex'!V55</f>
        <v>0</v>
      </c>
      <c r="F31" s="238">
        <f>E31*'Dados auxiliares'!$H$64</f>
        <v>0</v>
      </c>
      <c r="G31" s="590"/>
      <c r="H31" s="294" t="e">
        <f t="shared" si="2"/>
        <v>#DIV/0!</v>
      </c>
      <c r="I31" s="294" t="e">
        <f t="shared" si="3"/>
        <v>#DIV/0!</v>
      </c>
    </row>
    <row r="32" spans="1:9" x14ac:dyDescent="0.25">
      <c r="A32" s="230"/>
      <c r="B32" s="273" t="s">
        <v>560</v>
      </c>
      <c r="C32" s="273" t="s">
        <v>410</v>
      </c>
      <c r="D32" s="241"/>
      <c r="E32" s="237">
        <f>'E1G Flex'!V56</f>
        <v>0</v>
      </c>
      <c r="F32" s="242">
        <f>E32*'Dados auxiliares'!$H$66</f>
        <v>0</v>
      </c>
      <c r="G32" s="591"/>
      <c r="H32" s="294" t="e">
        <f t="shared" si="2"/>
        <v>#DIV/0!</v>
      </c>
      <c r="I32" s="294" t="e">
        <f t="shared" si="3"/>
        <v>#DIV/0!</v>
      </c>
    </row>
    <row r="33" spans="1:9" x14ac:dyDescent="0.25">
      <c r="A33" s="230"/>
      <c r="B33" s="273" t="s">
        <v>561</v>
      </c>
      <c r="C33" s="273" t="s">
        <v>410</v>
      </c>
      <c r="D33" s="241"/>
      <c r="E33" s="237">
        <f>'E1G Flex'!V57</f>
        <v>0</v>
      </c>
      <c r="F33" s="242">
        <f>E33*'Dados auxiliares'!$H$67</f>
        <v>0</v>
      </c>
      <c r="G33" s="591"/>
      <c r="H33" s="294" t="e">
        <f t="shared" si="2"/>
        <v>#DIV/0!</v>
      </c>
      <c r="I33" s="294" t="e">
        <f t="shared" si="3"/>
        <v>#DIV/0!</v>
      </c>
    </row>
    <row r="34" spans="1:9" x14ac:dyDescent="0.25">
      <c r="A34" s="230"/>
      <c r="B34" s="273" t="s">
        <v>562</v>
      </c>
      <c r="C34" s="273" t="s">
        <v>411</v>
      </c>
      <c r="D34" s="232"/>
      <c r="E34" s="237">
        <f>'E1G Flex'!V58</f>
        <v>0</v>
      </c>
      <c r="F34" s="238">
        <f>E34*'Dados auxiliares'!H$68</f>
        <v>0</v>
      </c>
      <c r="G34" s="590"/>
      <c r="H34" s="294" t="e">
        <f t="shared" si="2"/>
        <v>#DIV/0!</v>
      </c>
      <c r="I34" s="294" t="e">
        <f t="shared" si="3"/>
        <v>#DIV/0!</v>
      </c>
    </row>
    <row r="35" spans="1:9" x14ac:dyDescent="0.25">
      <c r="A35" s="230"/>
      <c r="B35" s="273" t="s">
        <v>256</v>
      </c>
      <c r="C35" s="273" t="s">
        <v>409</v>
      </c>
      <c r="D35" s="232"/>
      <c r="E35" s="237">
        <f>'E1G Flex'!V59</f>
        <v>0</v>
      </c>
      <c r="F35" s="238">
        <f>E35*'Dados auxiliares'!H$69</f>
        <v>0</v>
      </c>
      <c r="G35" s="590"/>
      <c r="H35" s="294" t="e">
        <f t="shared" si="2"/>
        <v>#DIV/0!</v>
      </c>
      <c r="I35" s="294" t="e">
        <f t="shared" si="3"/>
        <v>#DIV/0!</v>
      </c>
    </row>
    <row r="36" spans="1:9" x14ac:dyDescent="0.25">
      <c r="A36" s="230"/>
      <c r="B36" s="273" t="s">
        <v>404</v>
      </c>
      <c r="C36" s="273" t="s">
        <v>410</v>
      </c>
      <c r="D36" s="241"/>
      <c r="E36" s="237">
        <f>'E1G Flex'!V60</f>
        <v>0</v>
      </c>
      <c r="F36" s="238">
        <f>E36*'Dados auxiliares'!H$70</f>
        <v>0</v>
      </c>
      <c r="G36" s="590"/>
      <c r="H36" s="294" t="e">
        <f t="shared" si="2"/>
        <v>#DIV/0!</v>
      </c>
      <c r="I36" s="294" t="e">
        <f t="shared" si="3"/>
        <v>#DIV/0!</v>
      </c>
    </row>
    <row r="37" spans="1:9" x14ac:dyDescent="0.25">
      <c r="A37" s="230"/>
      <c r="B37" s="273" t="s">
        <v>405</v>
      </c>
      <c r="C37" s="273" t="s">
        <v>411</v>
      </c>
      <c r="D37" s="232"/>
      <c r="E37" s="237">
        <f>'E1G Flex'!V61</f>
        <v>0</v>
      </c>
      <c r="F37" s="238">
        <f>E37*'Dados auxiliares'!H$71</f>
        <v>0</v>
      </c>
      <c r="G37" s="590"/>
      <c r="H37" s="294" t="e">
        <f t="shared" si="2"/>
        <v>#DIV/0!</v>
      </c>
      <c r="I37" s="294" t="e">
        <f t="shared" si="3"/>
        <v>#DIV/0!</v>
      </c>
    </row>
    <row r="38" spans="1:9" x14ac:dyDescent="0.25">
      <c r="A38" s="230"/>
      <c r="B38" s="273" t="s">
        <v>345</v>
      </c>
      <c r="C38" s="273" t="s">
        <v>412</v>
      </c>
      <c r="D38" s="232"/>
      <c r="E38" s="237">
        <f>'E1G Flex'!V64</f>
        <v>0</v>
      </c>
      <c r="F38" s="243">
        <v>0</v>
      </c>
      <c r="G38" s="592"/>
      <c r="H38" s="294" t="e">
        <f t="shared" si="2"/>
        <v>#DIV/0!</v>
      </c>
      <c r="I38" s="294" t="e">
        <f t="shared" si="3"/>
        <v>#DIV/0!</v>
      </c>
    </row>
    <row r="39" spans="1:9" x14ac:dyDescent="0.25">
      <c r="B39" s="273" t="s">
        <v>407</v>
      </c>
      <c r="C39" s="273" t="s">
        <v>1</v>
      </c>
      <c r="D39" s="232"/>
      <c r="E39" s="237">
        <f>'E1G Flex'!V65</f>
        <v>0</v>
      </c>
      <c r="F39" s="243">
        <v>0</v>
      </c>
      <c r="G39" s="592"/>
      <c r="H39" s="294" t="e">
        <f t="shared" si="2"/>
        <v>#DIV/0!</v>
      </c>
      <c r="I39" s="294" t="e">
        <f t="shared" si="3"/>
        <v>#DIV/0!</v>
      </c>
    </row>
    <row r="40" spans="1:9" x14ac:dyDescent="0.25">
      <c r="B40" s="273" t="s">
        <v>408</v>
      </c>
      <c r="C40" s="273" t="s">
        <v>1</v>
      </c>
      <c r="D40" s="232"/>
      <c r="E40" s="237">
        <f>'E1G Flex'!V66</f>
        <v>0</v>
      </c>
      <c r="F40" s="243">
        <v>0</v>
      </c>
      <c r="G40" s="592"/>
      <c r="H40" s="294" t="e">
        <f t="shared" si="2"/>
        <v>#DIV/0!</v>
      </c>
      <c r="I40" s="294" t="e">
        <f t="shared" si="3"/>
        <v>#DIV/0!</v>
      </c>
    </row>
    <row r="41" spans="1:9" x14ac:dyDescent="0.25">
      <c r="B41" s="273" t="s">
        <v>406</v>
      </c>
      <c r="C41" s="273" t="s">
        <v>1</v>
      </c>
      <c r="D41" s="232"/>
      <c r="E41" s="237">
        <f>'E1G Flex'!V67+'E1G Flex'!V68</f>
        <v>0</v>
      </c>
      <c r="F41" s="243">
        <v>0</v>
      </c>
      <c r="G41" s="592"/>
      <c r="H41" s="294" t="e">
        <f t="shared" si="2"/>
        <v>#DIV/0!</v>
      </c>
      <c r="I41" s="294" t="e">
        <f t="shared" si="3"/>
        <v>#DIV/0!</v>
      </c>
    </row>
    <row r="42" spans="1:9" x14ac:dyDescent="0.25">
      <c r="B42" s="284" t="s">
        <v>340</v>
      </c>
      <c r="C42" s="285"/>
      <c r="D42" s="285"/>
      <c r="E42" s="288"/>
      <c r="F42" s="289"/>
      <c r="G42" s="593"/>
      <c r="H42" s="287"/>
      <c r="I42" s="287"/>
    </row>
    <row r="43" spans="1:9" s="71" customFormat="1" x14ac:dyDescent="0.25">
      <c r="B43" s="273" t="s">
        <v>242</v>
      </c>
      <c r="C43" s="273" t="s">
        <v>1</v>
      </c>
      <c r="D43" s="246">
        <f>SUM(D44:D57)</f>
        <v>1.0831569385065971</v>
      </c>
      <c r="E43" s="246" t="e">
        <f>SUM(E44:E57)</f>
        <v>#DIV/0!</v>
      </c>
      <c r="F43" s="247" t="e">
        <f>SUM(F44:F57)</f>
        <v>#DIV/0!</v>
      </c>
      <c r="G43" s="594"/>
      <c r="H43" s="549" t="e">
        <f t="shared" ref="H43:H57" si="4">(F43/$E$171)*$F$171</f>
        <v>#DIV/0!</v>
      </c>
      <c r="I43" s="549" t="e">
        <f t="shared" ref="I43:I57" si="5">(F43/$E$172)*$F$172</f>
        <v>#DIV/0!</v>
      </c>
    </row>
    <row r="44" spans="1:9" ht="15" customHeight="1" outlineLevel="1" x14ac:dyDescent="0.25">
      <c r="B44" s="273" t="s">
        <v>130</v>
      </c>
      <c r="C44" s="273" t="s">
        <v>1</v>
      </c>
      <c r="D44" s="245">
        <v>0.17411826749021314</v>
      </c>
      <c r="E44" s="237" t="e">
        <f>D44*$E$16</f>
        <v>#DIV/0!</v>
      </c>
      <c r="F44" s="294" t="e">
        <f>E44*'Dados auxiliares'!$H$72</f>
        <v>#DIV/0!</v>
      </c>
      <c r="G44" s="595"/>
      <c r="H44" s="294" t="e">
        <f t="shared" si="4"/>
        <v>#DIV/0!</v>
      </c>
      <c r="I44" s="294" t="e">
        <f t="shared" si="5"/>
        <v>#DIV/0!</v>
      </c>
    </row>
    <row r="45" spans="1:9" ht="15" customHeight="1" outlineLevel="1" x14ac:dyDescent="0.25">
      <c r="B45" s="273" t="s">
        <v>131</v>
      </c>
      <c r="C45" s="273" t="s">
        <v>1</v>
      </c>
      <c r="D45" s="245">
        <v>0.51076802087864281</v>
      </c>
      <c r="E45" s="237" t="e">
        <f t="shared" ref="E45:E55" si="6">D45*$E$16</f>
        <v>#DIV/0!</v>
      </c>
      <c r="F45" s="294" t="e">
        <f>E45*'Dados auxiliares'!$H$74</f>
        <v>#DIV/0!</v>
      </c>
      <c r="G45" s="595"/>
      <c r="H45" s="294" t="e">
        <f t="shared" si="4"/>
        <v>#DIV/0!</v>
      </c>
      <c r="I45" s="294" t="e">
        <f t="shared" si="5"/>
        <v>#DIV/0!</v>
      </c>
    </row>
    <row r="46" spans="1:9" outlineLevel="1" x14ac:dyDescent="0.25">
      <c r="B46" s="273" t="s">
        <v>18</v>
      </c>
      <c r="C46" s="273" t="s">
        <v>1</v>
      </c>
      <c r="D46" s="245">
        <v>7.3793224880382789E-3</v>
      </c>
      <c r="E46" s="237" t="e">
        <f>D46*$E$16</f>
        <v>#DIV/0!</v>
      </c>
      <c r="F46" s="294" t="e">
        <f>E46*'Dados auxiliares'!$H$74</f>
        <v>#DIV/0!</v>
      </c>
      <c r="G46" s="595"/>
      <c r="H46" s="294" t="e">
        <f t="shared" si="4"/>
        <v>#DIV/0!</v>
      </c>
      <c r="I46" s="294" t="e">
        <f t="shared" si="5"/>
        <v>#DIV/0!</v>
      </c>
    </row>
    <row r="47" spans="1:9" ht="15" customHeight="1" outlineLevel="1" x14ac:dyDescent="0.25">
      <c r="B47" s="273" t="s">
        <v>132</v>
      </c>
      <c r="C47" s="273" t="s">
        <v>1</v>
      </c>
      <c r="D47" s="245">
        <v>0.17491467014644049</v>
      </c>
      <c r="E47" s="237" t="e">
        <f t="shared" si="6"/>
        <v>#DIV/0!</v>
      </c>
      <c r="F47" s="294" t="e">
        <f>E47*'Dados auxiliares'!$H$74</f>
        <v>#DIV/0!</v>
      </c>
      <c r="G47" s="595"/>
      <c r="H47" s="294" t="e">
        <f t="shared" si="4"/>
        <v>#DIV/0!</v>
      </c>
      <c r="I47" s="294" t="e">
        <f t="shared" si="5"/>
        <v>#DIV/0!</v>
      </c>
    </row>
    <row r="48" spans="1:9" ht="15" customHeight="1" outlineLevel="1" x14ac:dyDescent="0.25">
      <c r="B48" s="273" t="s">
        <v>9</v>
      </c>
      <c r="C48" s="273" t="s">
        <v>1</v>
      </c>
      <c r="D48" s="245">
        <v>4.4723166594171377E-3</v>
      </c>
      <c r="E48" s="237" t="e">
        <f t="shared" si="6"/>
        <v>#DIV/0!</v>
      </c>
      <c r="F48" s="294" t="e">
        <f>E48*'Dados auxiliares'!$H$74</f>
        <v>#DIV/0!</v>
      </c>
      <c r="G48" s="595"/>
      <c r="H48" s="294" t="e">
        <f t="shared" si="4"/>
        <v>#DIV/0!</v>
      </c>
      <c r="I48" s="294" t="e">
        <f t="shared" si="5"/>
        <v>#DIV/0!</v>
      </c>
    </row>
    <row r="49" spans="1:9" ht="15" customHeight="1" outlineLevel="1" x14ac:dyDescent="0.25">
      <c r="B49" s="273" t="s">
        <v>10</v>
      </c>
      <c r="C49" s="273" t="s">
        <v>1</v>
      </c>
      <c r="D49" s="245">
        <v>9.3173263737857046E-3</v>
      </c>
      <c r="E49" s="237" t="e">
        <f t="shared" si="6"/>
        <v>#DIV/0!</v>
      </c>
      <c r="F49" s="294" t="e">
        <f>E49*'Dados auxiliares'!$H$74</f>
        <v>#DIV/0!</v>
      </c>
      <c r="G49" s="595"/>
      <c r="H49" s="294" t="e">
        <f t="shared" si="4"/>
        <v>#DIV/0!</v>
      </c>
      <c r="I49" s="294" t="e">
        <f t="shared" si="5"/>
        <v>#DIV/0!</v>
      </c>
    </row>
    <row r="50" spans="1:9" ht="15" customHeight="1" outlineLevel="1" x14ac:dyDescent="0.25">
      <c r="B50" s="273" t="s">
        <v>12</v>
      </c>
      <c r="C50" s="273" t="s">
        <v>1</v>
      </c>
      <c r="D50" s="245">
        <v>4.6586631868928516E-2</v>
      </c>
      <c r="E50" s="237" t="e">
        <f>D50*$E$16</f>
        <v>#DIV/0!</v>
      </c>
      <c r="F50" s="294" t="e">
        <f>E50*'Dados auxiliares'!$H$74</f>
        <v>#DIV/0!</v>
      </c>
      <c r="G50" s="595"/>
      <c r="H50" s="294" t="e">
        <f t="shared" si="4"/>
        <v>#DIV/0!</v>
      </c>
      <c r="I50" s="294" t="e">
        <f t="shared" si="5"/>
        <v>#DIV/0!</v>
      </c>
    </row>
    <row r="51" spans="1:9" ht="15" customHeight="1" outlineLevel="1" x14ac:dyDescent="0.25">
      <c r="B51" s="273" t="s">
        <v>17</v>
      </c>
      <c r="C51" s="273" t="s">
        <v>1</v>
      </c>
      <c r="D51" s="245">
        <v>2.616305245759026E-2</v>
      </c>
      <c r="E51" s="237" t="e">
        <f>D51*$E$16</f>
        <v>#DIV/0!</v>
      </c>
      <c r="F51" s="294" t="e">
        <f>E51*'Dados auxiliares'!$H$74</f>
        <v>#DIV/0!</v>
      </c>
      <c r="G51" s="595"/>
      <c r="H51" s="294" t="e">
        <f t="shared" si="4"/>
        <v>#DIV/0!</v>
      </c>
      <c r="I51" s="294" t="e">
        <f t="shared" si="5"/>
        <v>#DIV/0!</v>
      </c>
    </row>
    <row r="52" spans="1:9" ht="15" customHeight="1" outlineLevel="1" x14ac:dyDescent="0.25">
      <c r="B52" s="273" t="s">
        <v>11</v>
      </c>
      <c r="C52" s="273" t="s">
        <v>1</v>
      </c>
      <c r="D52" s="245">
        <v>4.6586631868928516E-2</v>
      </c>
      <c r="E52" s="237" t="e">
        <f t="shared" si="6"/>
        <v>#DIV/0!</v>
      </c>
      <c r="F52" s="294" t="e">
        <f>E52*'Dados auxiliares'!$H$74</f>
        <v>#DIV/0!</v>
      </c>
      <c r="G52" s="595"/>
      <c r="H52" s="294" t="e">
        <f t="shared" si="4"/>
        <v>#DIV/0!</v>
      </c>
      <c r="I52" s="294" t="e">
        <f t="shared" si="5"/>
        <v>#DIV/0!</v>
      </c>
    </row>
    <row r="53" spans="1:9" ht="15" customHeight="1" outlineLevel="1" x14ac:dyDescent="0.25">
      <c r="B53" s="273" t="s">
        <v>13</v>
      </c>
      <c r="C53" s="273" t="s">
        <v>1</v>
      </c>
      <c r="D53" s="245">
        <v>3.7548825286356391E-2</v>
      </c>
      <c r="E53" s="237" t="e">
        <f t="shared" si="6"/>
        <v>#DIV/0!</v>
      </c>
      <c r="F53" s="294" t="e">
        <f>E53*'Dados auxiliares'!$H$73</f>
        <v>#DIV/0!</v>
      </c>
      <c r="G53" s="595"/>
      <c r="H53" s="294" t="e">
        <f t="shared" si="4"/>
        <v>#DIV/0!</v>
      </c>
      <c r="I53" s="294" t="e">
        <f t="shared" si="5"/>
        <v>#DIV/0!</v>
      </c>
    </row>
    <row r="54" spans="1:9" ht="15" customHeight="1" outlineLevel="1" x14ac:dyDescent="0.25">
      <c r="B54" s="273" t="s">
        <v>14</v>
      </c>
      <c r="C54" s="273" t="s">
        <v>1</v>
      </c>
      <c r="D54" s="245">
        <v>9.3173263737857046E-3</v>
      </c>
      <c r="E54" s="237" t="e">
        <f t="shared" si="6"/>
        <v>#DIV/0!</v>
      </c>
      <c r="F54" s="294" t="e">
        <f>E54*'Dados auxiliares'!$H$74</f>
        <v>#DIV/0!</v>
      </c>
      <c r="G54" s="595"/>
      <c r="H54" s="294" t="e">
        <f t="shared" si="4"/>
        <v>#DIV/0!</v>
      </c>
      <c r="I54" s="294" t="e">
        <f t="shared" si="5"/>
        <v>#DIV/0!</v>
      </c>
    </row>
    <row r="55" spans="1:9" ht="15" customHeight="1" outlineLevel="1" x14ac:dyDescent="0.25">
      <c r="B55" s="273" t="s">
        <v>15</v>
      </c>
      <c r="C55" s="273" t="s">
        <v>1</v>
      </c>
      <c r="D55" s="245">
        <v>6.987994780339279E-5</v>
      </c>
      <c r="E55" s="237" t="e">
        <f t="shared" si="6"/>
        <v>#DIV/0!</v>
      </c>
      <c r="F55" s="294" t="e">
        <f>E55*'Dados auxiliares'!$H$74</f>
        <v>#DIV/0!</v>
      </c>
      <c r="G55" s="595"/>
      <c r="H55" s="294" t="e">
        <f t="shared" si="4"/>
        <v>#DIV/0!</v>
      </c>
      <c r="I55" s="294" t="e">
        <f t="shared" si="5"/>
        <v>#DIV/0!</v>
      </c>
    </row>
    <row r="56" spans="1:9" ht="15" customHeight="1" outlineLevel="1" x14ac:dyDescent="0.25">
      <c r="B56" s="273" t="s">
        <v>16</v>
      </c>
      <c r="C56" s="273" t="s">
        <v>1</v>
      </c>
      <c r="D56" s="245">
        <v>3.4051201391909529E-2</v>
      </c>
      <c r="E56" s="237" t="e">
        <f>D56*$E$16</f>
        <v>#DIV/0!</v>
      </c>
      <c r="F56" s="294" t="e">
        <f>E56*'Dados auxiliares'!$H$74</f>
        <v>#DIV/0!</v>
      </c>
      <c r="G56" s="595"/>
      <c r="H56" s="294" t="e">
        <f t="shared" si="4"/>
        <v>#DIV/0!</v>
      </c>
      <c r="I56" s="294" t="e">
        <f t="shared" si="5"/>
        <v>#DIV/0!</v>
      </c>
    </row>
    <row r="57" spans="1:9" ht="15" customHeight="1" outlineLevel="1" x14ac:dyDescent="0.25">
      <c r="B57" s="273" t="s">
        <v>16</v>
      </c>
      <c r="C57" s="273" t="s">
        <v>1</v>
      </c>
      <c r="D57" s="245">
        <v>1.8634652747571412E-3</v>
      </c>
      <c r="E57" s="237" t="e">
        <f>D57*$E$16</f>
        <v>#DIV/0!</v>
      </c>
      <c r="F57" s="294" t="e">
        <f>E57*'Dados auxiliares'!$H$74</f>
        <v>#DIV/0!</v>
      </c>
      <c r="G57" s="595"/>
      <c r="H57" s="294" t="e">
        <f t="shared" si="4"/>
        <v>#DIV/0!</v>
      </c>
      <c r="I57" s="294" t="e">
        <f t="shared" si="5"/>
        <v>#DIV/0!</v>
      </c>
    </row>
    <row r="58" spans="1:9" ht="15" customHeight="1" x14ac:dyDescent="0.25">
      <c r="A58" s="230"/>
      <c r="B58" s="284" t="s">
        <v>243</v>
      </c>
      <c r="C58" s="285"/>
      <c r="D58" s="285"/>
      <c r="E58" s="288"/>
      <c r="F58" s="289"/>
      <c r="G58" s="593"/>
      <c r="H58" s="287"/>
      <c r="I58" s="287"/>
    </row>
    <row r="59" spans="1:9" x14ac:dyDescent="0.25">
      <c r="A59" s="230"/>
      <c r="B59" s="273" t="s">
        <v>309</v>
      </c>
      <c r="C59" s="273" t="s">
        <v>1</v>
      </c>
      <c r="D59" s="248"/>
      <c r="E59" s="237">
        <f>('E1G Flex'!$V$71*(1-0.08)+'E1G Flex'!$V$72*(1-0.1)+'E1G Flex'!$V$73*(1-'E1G Flex'!$Y$73)+'E1G Flex'!V74*(1-0.2)+'E1G Flex'!$V$75*(1-0.3)+'E1G Flex'!$V$76*(1-1))*('Dados auxiliares'!$D$26)</f>
        <v>0</v>
      </c>
      <c r="F59" s="238">
        <f>E59*'Dados auxiliares'!$H$116</f>
        <v>0</v>
      </c>
      <c r="G59" s="590"/>
      <c r="H59" s="294" t="e">
        <f>(F59/$E$171)*$F$171</f>
        <v>#DIV/0!</v>
      </c>
      <c r="I59" s="294" t="e">
        <f>(F59/$E$172)*$F$172</f>
        <v>#DIV/0!</v>
      </c>
    </row>
    <row r="60" spans="1:9" x14ac:dyDescent="0.25">
      <c r="A60" s="230"/>
      <c r="B60" s="273" t="s">
        <v>187</v>
      </c>
      <c r="C60" s="273" t="s">
        <v>1</v>
      </c>
      <c r="D60" s="248"/>
      <c r="E60" s="237">
        <f>('E1G Flex'!$V$71*(0.08)+'E1G Flex'!$V$72*(0.1)+'E1G Flex'!$V$73*('E1G Flex'!$Y$73)+'E1G Flex'!V75*(0.2)+'E1G Flex'!$V$75*(0.3)+'E1G Flex'!$V$76*(1))*('Dados auxiliares'!$D$17)</f>
        <v>0</v>
      </c>
      <c r="F60" s="238">
        <f>E60*'Dados auxiliares'!$H$117</f>
        <v>0</v>
      </c>
      <c r="G60" s="590"/>
      <c r="H60" s="294" t="e">
        <f>(F60/$E$171)*$F$171</f>
        <v>#DIV/0!</v>
      </c>
      <c r="I60" s="294" t="e">
        <f>(F60/$E$172)*$F$172</f>
        <v>#DIV/0!</v>
      </c>
    </row>
    <row r="61" spans="1:9" x14ac:dyDescent="0.25">
      <c r="A61" s="230"/>
      <c r="B61" s="273" t="s">
        <v>188</v>
      </c>
      <c r="C61" s="273" t="s">
        <v>1</v>
      </c>
      <c r="D61" s="248"/>
      <c r="E61" s="237">
        <f>'E1G Flex'!V77*(1-'FE''s queima combustíveis'!$D$19)*'Dados auxiliares'!$D$24</f>
        <v>0</v>
      </c>
      <c r="F61" s="238">
        <f>E61*'Dados auxiliares'!$H$120</f>
        <v>0</v>
      </c>
      <c r="G61" s="590"/>
      <c r="H61" s="294" t="e">
        <f>(F61/$E$171)*$F$171</f>
        <v>#DIV/0!</v>
      </c>
      <c r="I61" s="294" t="e">
        <f>(F61/$E$172)*$F$172</f>
        <v>#DIV/0!</v>
      </c>
    </row>
    <row r="62" spans="1:9" x14ac:dyDescent="0.25">
      <c r="A62" s="230"/>
      <c r="B62" s="273" t="s">
        <v>45</v>
      </c>
      <c r="C62" s="273" t="s">
        <v>1</v>
      </c>
      <c r="D62" s="248"/>
      <c r="E62" s="237">
        <f>'E1G Flex'!V77*('FE''s queima combustíveis'!$D$19)*'Dados auxiliares'!$D$15</f>
        <v>0</v>
      </c>
      <c r="F62" s="238">
        <f>E62*'Dados auxiliares'!$H$121</f>
        <v>0</v>
      </c>
      <c r="G62" s="590"/>
      <c r="H62" s="294" t="e">
        <f>(F62/$E$171)*$F$171</f>
        <v>#DIV/0!</v>
      </c>
      <c r="I62" s="294" t="e">
        <f>(F62/$E$172)*$F$172</f>
        <v>#DIV/0!</v>
      </c>
    </row>
    <row r="63" spans="1:9" x14ac:dyDescent="0.25">
      <c r="A63" s="230"/>
      <c r="B63" s="273" t="s">
        <v>46</v>
      </c>
      <c r="C63" s="273" t="s">
        <v>1</v>
      </c>
      <c r="D63" s="248"/>
      <c r="E63" s="237">
        <f>'E1G Flex'!V78*'Dados auxiliares'!$D$16</f>
        <v>0</v>
      </c>
      <c r="F63" s="238">
        <f>E63*'Dados auxiliares'!$H$122</f>
        <v>0</v>
      </c>
      <c r="G63" s="590"/>
      <c r="H63" s="294" t="e">
        <f>(F63/$E$171)*$F$171</f>
        <v>#DIV/0!</v>
      </c>
      <c r="I63" s="294" t="e">
        <f>(F63/$E$172)*$F$172</f>
        <v>#DIV/0!</v>
      </c>
    </row>
    <row r="64" spans="1:9" x14ac:dyDescent="0.25">
      <c r="A64" s="230"/>
      <c r="B64" s="273" t="s">
        <v>468</v>
      </c>
      <c r="C64" s="273" t="s">
        <v>169</v>
      </c>
      <c r="D64" s="248"/>
      <c r="E64" s="237">
        <f>'E1G Flex'!V79</f>
        <v>0</v>
      </c>
      <c r="F64" s="238">
        <f>E64*('Dados auxiliares'!$D$18*1000)*'Dados auxiliares'!$F$18*'Dados auxiliares'!$H$125</f>
        <v>0</v>
      </c>
      <c r="G64" s="590"/>
      <c r="H64" s="294" t="e">
        <f t="shared" ref="H64" si="7">(F64/$E$171)*$F$171</f>
        <v>#DIV/0!</v>
      </c>
      <c r="I64" s="294" t="e">
        <f t="shared" ref="I64:I65" si="8">(F64/$E$172)*$F$172</f>
        <v>#DIV/0!</v>
      </c>
    </row>
    <row r="65" spans="1:10" x14ac:dyDescent="0.25">
      <c r="A65" s="230"/>
      <c r="B65" s="273" t="s">
        <v>376</v>
      </c>
      <c r="C65" s="273" t="s">
        <v>57</v>
      </c>
      <c r="D65" s="248"/>
      <c r="E65" s="237">
        <f>'E1G Flex'!V81</f>
        <v>0</v>
      </c>
      <c r="F65" s="238">
        <f>E65*'Dados auxiliares'!$H$107</f>
        <v>0</v>
      </c>
      <c r="G65" s="590"/>
      <c r="H65" s="294" t="e">
        <f>(F65/$E$171)*$F$171</f>
        <v>#DIV/0!</v>
      </c>
      <c r="I65" s="294" t="e">
        <f t="shared" si="8"/>
        <v>#DIV/0!</v>
      </c>
    </row>
    <row r="66" spans="1:10" x14ac:dyDescent="0.25">
      <c r="A66" s="230"/>
      <c r="B66" s="273" t="s">
        <v>375</v>
      </c>
      <c r="C66" s="273" t="s">
        <v>57</v>
      </c>
      <c r="D66" s="248"/>
      <c r="E66" s="237">
        <f>'E1G Flex'!V82</f>
        <v>0</v>
      </c>
      <c r="F66" s="238">
        <f>E66*'Dados auxiliares'!$H$108</f>
        <v>0</v>
      </c>
      <c r="G66" s="590"/>
      <c r="H66" s="294" t="e">
        <f>(F66/$E$171)*$F$171</f>
        <v>#DIV/0!</v>
      </c>
      <c r="I66" s="294" t="e">
        <f>(F66/$E$172)*$F$172</f>
        <v>#DIV/0!</v>
      </c>
    </row>
    <row r="67" spans="1:10" x14ac:dyDescent="0.25">
      <c r="A67" s="230"/>
      <c r="B67" s="273" t="s">
        <v>372</v>
      </c>
      <c r="C67" s="273" t="s">
        <v>57</v>
      </c>
      <c r="D67" s="248"/>
      <c r="E67" s="237">
        <f>'E1G Flex'!V83</f>
        <v>0</v>
      </c>
      <c r="F67" s="238">
        <f>E67*'Dados auxiliares'!$H$109</f>
        <v>0</v>
      </c>
      <c r="G67" s="590"/>
      <c r="H67" s="294" t="e">
        <f>(F67/$E$171)*$F$171</f>
        <v>#DIV/0!</v>
      </c>
      <c r="I67" s="294" t="e">
        <f>(F67/$E$172)*$F$172</f>
        <v>#DIV/0!</v>
      </c>
    </row>
    <row r="68" spans="1:10" x14ac:dyDescent="0.25">
      <c r="A68" s="230"/>
      <c r="B68" s="273" t="s">
        <v>373</v>
      </c>
      <c r="C68" s="273" t="s">
        <v>57</v>
      </c>
      <c r="D68" s="248"/>
      <c r="E68" s="237">
        <f>'E1G Flex'!V84</f>
        <v>0</v>
      </c>
      <c r="F68" s="238">
        <f>E68*'Dados auxiliares'!$H$110</f>
        <v>0</v>
      </c>
      <c r="G68" s="590"/>
      <c r="H68" s="294" t="e">
        <f>(F68/$E$171)*$F$171</f>
        <v>#DIV/0!</v>
      </c>
      <c r="I68" s="294" t="e">
        <f>(F68/$E$172)*$F$172</f>
        <v>#DIV/0!</v>
      </c>
    </row>
    <row r="69" spans="1:10" x14ac:dyDescent="0.25">
      <c r="A69" s="230"/>
      <c r="B69" s="273" t="s">
        <v>374</v>
      </c>
      <c r="C69" s="273" t="s">
        <v>57</v>
      </c>
      <c r="D69" s="248"/>
      <c r="E69" s="237">
        <f>'E1G Flex'!V85</f>
        <v>0</v>
      </c>
      <c r="F69" s="238">
        <f>E69*'Dados auxiliares'!$H$111</f>
        <v>0</v>
      </c>
      <c r="G69" s="590"/>
      <c r="H69" s="294" t="e">
        <f>(F69/$E$171)*$F$171</f>
        <v>#DIV/0!</v>
      </c>
      <c r="I69" s="294" t="e">
        <f>(F69/$E$172)*$F$172</f>
        <v>#DIV/0!</v>
      </c>
    </row>
    <row r="70" spans="1:10" ht="18" x14ac:dyDescent="0.25">
      <c r="A70" s="230"/>
      <c r="B70" s="281" t="s">
        <v>52</v>
      </c>
      <c r="C70" s="381"/>
      <c r="D70" s="381" t="s">
        <v>51</v>
      </c>
      <c r="E70" s="381" t="s">
        <v>507</v>
      </c>
      <c r="F70" s="283" t="s">
        <v>508</v>
      </c>
      <c r="G70" s="272"/>
      <c r="H70" s="283" t="s">
        <v>535</v>
      </c>
      <c r="I70" s="283" t="s">
        <v>535</v>
      </c>
      <c r="J70" s="239"/>
    </row>
    <row r="71" spans="1:10" ht="18" x14ac:dyDescent="0.25">
      <c r="A71" s="70"/>
      <c r="B71" s="273" t="s">
        <v>567</v>
      </c>
      <c r="C71" s="273" t="s">
        <v>1</v>
      </c>
      <c r="D71" s="237" t="e">
        <f>'_Emissões Agrícolas'!$E$54</f>
        <v>#DIV/0!</v>
      </c>
      <c r="E71" s="237" t="e">
        <f>D71*$E$16</f>
        <v>#DIV/0!</v>
      </c>
      <c r="F71" s="238" t="e">
        <f>E71*1000*'Dados auxiliares'!$D$9</f>
        <v>#DIV/0!</v>
      </c>
      <c r="G71" s="590"/>
      <c r="H71" s="294" t="e">
        <f t="shared" ref="H71:H82" si="9">(F71/$E$171)*$F$171</f>
        <v>#DIV/0!</v>
      </c>
      <c r="I71" s="294" t="e">
        <f t="shared" ref="I71:I83" si="10">(F71/$E$172)*$F$172</f>
        <v>#DIV/0!</v>
      </c>
    </row>
    <row r="72" spans="1:10" ht="18" x14ac:dyDescent="0.25">
      <c r="A72" s="70"/>
      <c r="B72" s="273" t="s">
        <v>568</v>
      </c>
      <c r="C72" s="273" t="s">
        <v>1</v>
      </c>
      <c r="D72" s="237" t="e">
        <f>'_Emissões Agrícolas'!$E$58</f>
        <v>#DIV/0!</v>
      </c>
      <c r="E72" s="237" t="e">
        <f>D72*$E$16</f>
        <v>#DIV/0!</v>
      </c>
      <c r="F72" s="238" t="e">
        <f>E72*1000*'Dados auxiliares'!$D$9</f>
        <v>#DIV/0!</v>
      </c>
      <c r="G72" s="590"/>
      <c r="H72" s="294" t="e">
        <f t="shared" si="9"/>
        <v>#DIV/0!</v>
      </c>
      <c r="I72" s="294" t="e">
        <f t="shared" si="10"/>
        <v>#DIV/0!</v>
      </c>
    </row>
    <row r="73" spans="1:10" ht="18" x14ac:dyDescent="0.25">
      <c r="A73" s="70"/>
      <c r="B73" s="273" t="s">
        <v>569</v>
      </c>
      <c r="C73" s="273" t="s">
        <v>1</v>
      </c>
      <c r="D73" s="237" t="e">
        <f>'_Emissões Agrícolas'!$E$62</f>
        <v>#DIV/0!</v>
      </c>
      <c r="E73" s="237" t="e">
        <f>D73*$E$16</f>
        <v>#DIV/0!</v>
      </c>
      <c r="F73" s="238" t="e">
        <f>E73*1000*'Dados auxiliares'!$D$9</f>
        <v>#DIV/0!</v>
      </c>
      <c r="G73" s="590"/>
      <c r="H73" s="294" t="e">
        <f t="shared" si="9"/>
        <v>#DIV/0!</v>
      </c>
      <c r="I73" s="294" t="e">
        <f t="shared" si="10"/>
        <v>#DIV/0!</v>
      </c>
    </row>
    <row r="74" spans="1:10" ht="18" x14ac:dyDescent="0.25">
      <c r="A74" s="230"/>
      <c r="B74" s="273" t="s">
        <v>438</v>
      </c>
      <c r="C74" s="273" t="s">
        <v>1</v>
      </c>
      <c r="D74" s="248"/>
      <c r="E74" s="237">
        <f>$E$19*'_Emissões Agrícolas'!$E$79+$E$20*'_Emissões Agrícolas'!$E$80</f>
        <v>0</v>
      </c>
      <c r="F74" s="238">
        <f>E74*1000</f>
        <v>0</v>
      </c>
      <c r="G74" s="590"/>
      <c r="H74" s="294" t="e">
        <f t="shared" si="9"/>
        <v>#DIV/0!</v>
      </c>
      <c r="I74" s="294" t="e">
        <f t="shared" si="10"/>
        <v>#DIV/0!</v>
      </c>
    </row>
    <row r="75" spans="1:10" ht="18" x14ac:dyDescent="0.25">
      <c r="A75" s="230"/>
      <c r="B75" s="273" t="s">
        <v>439</v>
      </c>
      <c r="C75" s="273" t="s">
        <v>1</v>
      </c>
      <c r="D75" s="248"/>
      <c r="E75" s="237">
        <f>$E$22*'_Emissões Agrícolas'!$E$81</f>
        <v>0</v>
      </c>
      <c r="F75" s="238">
        <f>E75*1000</f>
        <v>0</v>
      </c>
      <c r="G75" s="590"/>
      <c r="H75" s="294" t="e">
        <f t="shared" si="9"/>
        <v>#DIV/0!</v>
      </c>
      <c r="I75" s="294" t="e">
        <f t="shared" si="10"/>
        <v>#DIV/0!</v>
      </c>
    </row>
    <row r="76" spans="1:10" ht="18" x14ac:dyDescent="0.25">
      <c r="A76" s="230"/>
      <c r="B76" s="273" t="s">
        <v>441</v>
      </c>
      <c r="C76" s="273" t="s">
        <v>1</v>
      </c>
      <c r="D76" s="237" t="e">
        <f>'_Emissões Agrícolas'!$E$73</f>
        <v>#DIV/0!</v>
      </c>
      <c r="E76" s="237" t="e">
        <f>D76*$E$16</f>
        <v>#DIV/0!</v>
      </c>
      <c r="F76" s="238" t="e">
        <f>E76*1000*'Dados auxiliares'!$D$9</f>
        <v>#DIV/0!</v>
      </c>
      <c r="G76" s="590"/>
      <c r="H76" s="294" t="e">
        <f t="shared" si="9"/>
        <v>#DIV/0!</v>
      </c>
      <c r="I76" s="294" t="e">
        <f t="shared" si="10"/>
        <v>#DIV/0!</v>
      </c>
    </row>
    <row r="77" spans="1:10" ht="18" x14ac:dyDescent="0.25">
      <c r="A77" s="267"/>
      <c r="B77" s="273" t="s">
        <v>440</v>
      </c>
      <c r="C77" s="273" t="s">
        <v>1</v>
      </c>
      <c r="D77" s="237" t="e">
        <f>'_Emissões Agrícolas'!$E$74</f>
        <v>#DIV/0!</v>
      </c>
      <c r="E77" s="237" t="e">
        <f>D77*$E$16</f>
        <v>#DIV/0!</v>
      </c>
      <c r="F77" s="238" t="e">
        <f>E77*1000*'Dados auxiliares'!$D$8</f>
        <v>#DIV/0!</v>
      </c>
      <c r="G77" s="590"/>
      <c r="H77" s="294" t="e">
        <f t="shared" si="9"/>
        <v>#DIV/0!</v>
      </c>
      <c r="I77" s="294" t="e">
        <f t="shared" si="10"/>
        <v>#DIV/0!</v>
      </c>
    </row>
    <row r="78" spans="1:10" x14ac:dyDescent="0.25">
      <c r="A78" s="230"/>
      <c r="B78" s="273" t="s">
        <v>437</v>
      </c>
      <c r="C78" s="273" t="s">
        <v>1</v>
      </c>
      <c r="D78" s="237"/>
      <c r="E78" s="237">
        <f>$E$59*'FE''s queima combustíveis'!$I$64/1000</f>
        <v>0</v>
      </c>
      <c r="F78" s="238">
        <f>E78*1000</f>
        <v>0</v>
      </c>
      <c r="G78" s="590"/>
      <c r="H78" s="294" t="e">
        <f t="shared" si="9"/>
        <v>#DIV/0!</v>
      </c>
      <c r="I78" s="294" t="e">
        <f t="shared" si="10"/>
        <v>#DIV/0!</v>
      </c>
    </row>
    <row r="79" spans="1:10" x14ac:dyDescent="0.25">
      <c r="A79" s="230"/>
      <c r="B79" s="273" t="s">
        <v>443</v>
      </c>
      <c r="C79" s="273" t="s">
        <v>1</v>
      </c>
      <c r="D79" s="237"/>
      <c r="E79" s="237">
        <f>$E$60*'FE''s queima combustíveis'!$I$65/1000</f>
        <v>0</v>
      </c>
      <c r="F79" s="238">
        <f t="shared" ref="F79:F83" si="11">E79*1000</f>
        <v>0</v>
      </c>
      <c r="G79" s="590"/>
      <c r="H79" s="294" t="e">
        <f t="shared" si="9"/>
        <v>#DIV/0!</v>
      </c>
      <c r="I79" s="294" t="e">
        <f t="shared" si="10"/>
        <v>#DIV/0!</v>
      </c>
    </row>
    <row r="80" spans="1:10" x14ac:dyDescent="0.25">
      <c r="A80" s="230"/>
      <c r="B80" s="273" t="s">
        <v>492</v>
      </c>
      <c r="C80" s="273" t="s">
        <v>1</v>
      </c>
      <c r="D80" s="237"/>
      <c r="E80" s="237">
        <f>$E$61*'FE''s queima combustíveis'!$I$9/1000</f>
        <v>0</v>
      </c>
      <c r="F80" s="238">
        <f t="shared" si="11"/>
        <v>0</v>
      </c>
      <c r="G80" s="590"/>
      <c r="H80" s="294" t="e">
        <f t="shared" si="9"/>
        <v>#DIV/0!</v>
      </c>
      <c r="I80" s="294" t="e">
        <f t="shared" si="10"/>
        <v>#DIV/0!</v>
      </c>
    </row>
    <row r="81" spans="1:9" x14ac:dyDescent="0.25">
      <c r="A81" s="230"/>
      <c r="B81" s="273" t="s">
        <v>493</v>
      </c>
      <c r="C81" s="273" t="s">
        <v>1</v>
      </c>
      <c r="D81" s="237"/>
      <c r="E81" s="237">
        <f>$E$62*'FE''s queima combustíveis'!$I$7/1000</f>
        <v>0</v>
      </c>
      <c r="F81" s="238">
        <f t="shared" si="11"/>
        <v>0</v>
      </c>
      <c r="G81" s="590"/>
      <c r="H81" s="294" t="e">
        <f t="shared" si="9"/>
        <v>#DIV/0!</v>
      </c>
      <c r="I81" s="294" t="e">
        <f t="shared" si="10"/>
        <v>#DIV/0!</v>
      </c>
    </row>
    <row r="82" spans="1:9" x14ac:dyDescent="0.25">
      <c r="A82" s="230"/>
      <c r="B82" s="273" t="s">
        <v>494</v>
      </c>
      <c r="C82" s="273" t="s">
        <v>1</v>
      </c>
      <c r="D82" s="237"/>
      <c r="E82" s="237">
        <f>$E$63*'FE''s queima combustíveis'!$I$8/1000</f>
        <v>0</v>
      </c>
      <c r="F82" s="238">
        <f t="shared" si="11"/>
        <v>0</v>
      </c>
      <c r="G82" s="590"/>
      <c r="H82" s="294" t="e">
        <f t="shared" si="9"/>
        <v>#DIV/0!</v>
      </c>
      <c r="I82" s="294" t="e">
        <f t="shared" si="10"/>
        <v>#DIV/0!</v>
      </c>
    </row>
    <row r="83" spans="1:9" x14ac:dyDescent="0.25">
      <c r="A83" s="230"/>
      <c r="B83" s="273" t="s">
        <v>444</v>
      </c>
      <c r="C83" s="273" t="s">
        <v>1</v>
      </c>
      <c r="D83" s="237"/>
      <c r="E83" s="237">
        <f>($E$64+'E1G Flex'!V80)*'FE''s queima combustíveis'!$I$66/1000</f>
        <v>0</v>
      </c>
      <c r="F83" s="238">
        <f t="shared" si="11"/>
        <v>0</v>
      </c>
      <c r="G83" s="590"/>
      <c r="H83" s="294" t="e">
        <f t="shared" ref="H83" si="12">(F83/$E$171)*$F$171</f>
        <v>#DIV/0!</v>
      </c>
      <c r="I83" s="294" t="e">
        <f t="shared" si="10"/>
        <v>#DIV/0!</v>
      </c>
    </row>
    <row r="84" spans="1:9" ht="6" customHeight="1" x14ac:dyDescent="0.25">
      <c r="A84" s="268"/>
      <c r="B84" s="163"/>
      <c r="C84" s="251"/>
      <c r="D84" s="252"/>
      <c r="E84" s="252"/>
      <c r="F84" s="253"/>
      <c r="G84" s="596"/>
      <c r="H84" s="239"/>
      <c r="I84" s="244"/>
    </row>
    <row r="85" spans="1:9" ht="18" x14ac:dyDescent="0.25">
      <c r="B85" s="276" t="s">
        <v>54</v>
      </c>
      <c r="C85" s="274" t="s">
        <v>509</v>
      </c>
      <c r="D85" s="241"/>
      <c r="E85" s="275"/>
      <c r="F85" s="290" t="e">
        <f>SUM(F71:F83)</f>
        <v>#DIV/0!</v>
      </c>
      <c r="G85" s="597"/>
      <c r="H85" s="290" t="e">
        <f>(F85/$E$171)*$F$171</f>
        <v>#DIV/0!</v>
      </c>
      <c r="I85" s="290" t="e">
        <f>(F85/$E$172)*$F$172</f>
        <v>#DIV/0!</v>
      </c>
    </row>
    <row r="86" spans="1:9" ht="18" x14ac:dyDescent="0.25">
      <c r="B86" s="276" t="s">
        <v>61</v>
      </c>
      <c r="C86" s="274" t="s">
        <v>509</v>
      </c>
      <c r="D86" s="241"/>
      <c r="E86" s="275"/>
      <c r="F86" s="290" t="e">
        <f>SUM(F18:F43,F58:F69)</f>
        <v>#DIV/0!</v>
      </c>
      <c r="G86" s="597"/>
      <c r="H86" s="290" t="e">
        <f>(F86/$E$171)*$F$171</f>
        <v>#DIV/0!</v>
      </c>
      <c r="I86" s="290" t="e">
        <f>(F86/$E$172)*$F$172</f>
        <v>#DIV/0!</v>
      </c>
    </row>
    <row r="87" spans="1:9" ht="18" x14ac:dyDescent="0.25">
      <c r="B87" s="276" t="s">
        <v>55</v>
      </c>
      <c r="C87" s="274" t="s">
        <v>509</v>
      </c>
      <c r="D87" s="241"/>
      <c r="E87" s="275"/>
      <c r="F87" s="290" t="e">
        <f>F85+F86</f>
        <v>#DIV/0!</v>
      </c>
      <c r="G87" s="597"/>
      <c r="H87" s="290" t="e">
        <f>(F87/$E$171)*$F$171</f>
        <v>#DIV/0!</v>
      </c>
      <c r="I87" s="290" t="e">
        <f>(F87/$E$172)*$F$172</f>
        <v>#DIV/0!</v>
      </c>
    </row>
    <row r="88" spans="1:9" x14ac:dyDescent="0.25">
      <c r="B88" s="230"/>
      <c r="C88" s="255"/>
      <c r="D88" s="255"/>
      <c r="E88" s="255"/>
      <c r="F88" s="255"/>
      <c r="G88" s="255"/>
      <c r="H88" s="256"/>
      <c r="I88" s="257"/>
    </row>
    <row r="89" spans="1:9" x14ac:dyDescent="0.25">
      <c r="B89" s="230"/>
      <c r="C89" s="255"/>
      <c r="D89" s="255"/>
      <c r="E89" s="255"/>
      <c r="F89" s="255"/>
      <c r="G89" s="255"/>
      <c r="H89" s="256"/>
      <c r="I89" s="257"/>
    </row>
    <row r="90" spans="1:9" s="66" customFormat="1" ht="18.75" x14ac:dyDescent="0.25">
      <c r="B90" s="741" t="s">
        <v>609</v>
      </c>
      <c r="C90" s="741"/>
      <c r="D90" s="741"/>
      <c r="E90" s="741"/>
      <c r="F90" s="741"/>
      <c r="G90" s="453"/>
      <c r="H90" s="740" t="s">
        <v>936</v>
      </c>
      <c r="I90" s="740" t="s">
        <v>937</v>
      </c>
    </row>
    <row r="91" spans="1:9" s="10" customFormat="1" ht="18" x14ac:dyDescent="0.25">
      <c r="B91" s="279" t="s">
        <v>510</v>
      </c>
      <c r="C91" s="381"/>
      <c r="D91" s="381" t="s">
        <v>51</v>
      </c>
      <c r="E91" s="381" t="s">
        <v>610</v>
      </c>
      <c r="F91" s="381"/>
      <c r="G91" s="583"/>
      <c r="H91" s="740"/>
      <c r="I91" s="740"/>
    </row>
    <row r="92" spans="1:9" s="10" customFormat="1" x14ac:dyDescent="0.25">
      <c r="B92" s="273" t="s">
        <v>612</v>
      </c>
      <c r="C92" s="273" t="s">
        <v>1</v>
      </c>
      <c r="D92" s="247" t="e">
        <f>'E1G Flex'!D93/'E1G Flex'!D91*1000</f>
        <v>#DIV/0!</v>
      </c>
      <c r="E92" s="232">
        <v>1000</v>
      </c>
      <c r="F92" s="233"/>
      <c r="G92" s="586"/>
      <c r="H92" s="740"/>
      <c r="I92" s="740"/>
    </row>
    <row r="93" spans="1:9" s="10" customFormat="1" ht="18" x14ac:dyDescent="0.25">
      <c r="B93" s="281" t="s">
        <v>511</v>
      </c>
      <c r="C93" s="381"/>
      <c r="D93" s="381" t="s">
        <v>51</v>
      </c>
      <c r="E93" s="381" t="s">
        <v>610</v>
      </c>
      <c r="F93" s="283" t="s">
        <v>613</v>
      </c>
      <c r="G93" s="272"/>
      <c r="H93" s="740"/>
      <c r="I93" s="740"/>
    </row>
    <row r="94" spans="1:9" s="51" customFormat="1" x14ac:dyDescent="0.25">
      <c r="B94" s="273" t="s">
        <v>413</v>
      </c>
      <c r="C94" s="273" t="s">
        <v>36</v>
      </c>
      <c r="D94" s="232">
        <v>1</v>
      </c>
      <c r="E94" s="235" t="e">
        <f>(D94*E92)/D92</f>
        <v>#DIV/0!</v>
      </c>
      <c r="F94" s="236" t="s">
        <v>5</v>
      </c>
      <c r="G94" s="588"/>
      <c r="H94" s="740"/>
      <c r="I94" s="740"/>
    </row>
    <row r="95" spans="1:9" s="51" customFormat="1" ht="18" x14ac:dyDescent="0.25">
      <c r="B95" s="281" t="s">
        <v>60</v>
      </c>
      <c r="C95" s="381"/>
      <c r="D95" s="381" t="s">
        <v>51</v>
      </c>
      <c r="E95" s="381" t="s">
        <v>610</v>
      </c>
      <c r="F95" s="283" t="s">
        <v>613</v>
      </c>
      <c r="G95" s="272"/>
      <c r="H95" s="283" t="s">
        <v>535</v>
      </c>
      <c r="I95" s="283" t="s">
        <v>535</v>
      </c>
    </row>
    <row r="96" spans="1:9" s="8" customFormat="1" x14ac:dyDescent="0.25">
      <c r="B96" s="273" t="s">
        <v>34</v>
      </c>
      <c r="C96" s="273" t="s">
        <v>1</v>
      </c>
      <c r="D96" s="232"/>
      <c r="E96" s="237">
        <f>'E1G Flex'!D103</f>
        <v>0</v>
      </c>
      <c r="F96" s="238">
        <f>E96*'Dados auxiliares'!$H$75</f>
        <v>0</v>
      </c>
      <c r="G96" s="590"/>
      <c r="H96" s="294" t="e">
        <f>(F96/$E$171)*$F$171*$D$183</f>
        <v>#DIV/0!</v>
      </c>
      <c r="I96" s="294" t="e">
        <f>(F96/$E$172)*$F$172*$D$183</f>
        <v>#DIV/0!</v>
      </c>
    </row>
    <row r="97" spans="2:9" s="8" customFormat="1" x14ac:dyDescent="0.25">
      <c r="B97" s="273" t="s">
        <v>20</v>
      </c>
      <c r="C97" s="273" t="s">
        <v>1</v>
      </c>
      <c r="D97" s="361">
        <v>602</v>
      </c>
      <c r="E97" s="237" t="e">
        <f>D97*$E$16/$D$16</f>
        <v>#DIV/0!</v>
      </c>
      <c r="F97" s="238" t="e">
        <f>E97*'Dados auxiliares'!$H$83</f>
        <v>#DIV/0!</v>
      </c>
      <c r="G97" s="590"/>
      <c r="H97" s="294" t="e">
        <f>(F97/$E$171)*$F$171*$D$183</f>
        <v>#DIV/0!</v>
      </c>
      <c r="I97" s="294" t="e">
        <f>(F97/$E$172)*$F$172*$D$183</f>
        <v>#DIV/0!</v>
      </c>
    </row>
    <row r="98" spans="2:9" s="5" customFormat="1" x14ac:dyDescent="0.25">
      <c r="B98" s="284" t="s">
        <v>419</v>
      </c>
      <c r="C98" s="285"/>
      <c r="D98" s="285"/>
      <c r="E98" s="286"/>
      <c r="F98" s="287"/>
      <c r="G98" s="589"/>
      <c r="H98" s="287"/>
      <c r="I98" s="287"/>
    </row>
    <row r="99" spans="2:9" s="8" customFormat="1" x14ac:dyDescent="0.25">
      <c r="B99" s="273" t="s">
        <v>164</v>
      </c>
      <c r="C99" s="273" t="s">
        <v>1</v>
      </c>
      <c r="D99" s="232"/>
      <c r="E99" s="237">
        <f>'E1G Flex'!D98</f>
        <v>0</v>
      </c>
      <c r="F99" s="238">
        <f>E99*'Dados auxiliares'!$H$52</f>
        <v>0</v>
      </c>
      <c r="G99" s="590"/>
      <c r="H99" s="294" t="e">
        <f t="shared" ref="H99:H118" si="13">(F99/$E$171)*$F$171*$D$183</f>
        <v>#DIV/0!</v>
      </c>
      <c r="I99" s="294" t="e">
        <f t="shared" ref="I99:I118" si="14">(F99/$E$172)*$F$172*$D$183</f>
        <v>#DIV/0!</v>
      </c>
    </row>
    <row r="100" spans="2:9" s="8" customFormat="1" x14ac:dyDescent="0.25">
      <c r="B100" s="273" t="s">
        <v>163</v>
      </c>
      <c r="C100" s="273" t="s">
        <v>1</v>
      </c>
      <c r="D100" s="232"/>
      <c r="E100" s="237">
        <f>'E1G Flex'!D99</f>
        <v>0</v>
      </c>
      <c r="F100" s="238">
        <f>E100*'Dados auxiliares'!$H$53</f>
        <v>0</v>
      </c>
      <c r="G100" s="590"/>
      <c r="H100" s="294" t="e">
        <f t="shared" si="13"/>
        <v>#DIV/0!</v>
      </c>
      <c r="I100" s="294" t="e">
        <f t="shared" si="14"/>
        <v>#DIV/0!</v>
      </c>
    </row>
    <row r="101" spans="2:9" s="8" customFormat="1" x14ac:dyDescent="0.25">
      <c r="B101" s="273" t="s">
        <v>28</v>
      </c>
      <c r="C101" s="273" t="s">
        <v>1</v>
      </c>
      <c r="D101" s="232"/>
      <c r="E101" s="237">
        <f>'E1G Flex'!D100</f>
        <v>0</v>
      </c>
      <c r="F101" s="238">
        <f>E101*'Dados auxiliares'!$H$54</f>
        <v>0</v>
      </c>
      <c r="G101" s="590"/>
      <c r="H101" s="294" t="e">
        <f t="shared" si="13"/>
        <v>#DIV/0!</v>
      </c>
      <c r="I101" s="294" t="e">
        <f t="shared" si="14"/>
        <v>#DIV/0!</v>
      </c>
    </row>
    <row r="102" spans="2:9" s="8" customFormat="1" x14ac:dyDescent="0.25">
      <c r="B102" s="273" t="s">
        <v>393</v>
      </c>
      <c r="C102" s="273" t="s">
        <v>409</v>
      </c>
      <c r="D102" s="232"/>
      <c r="E102" s="237">
        <f>'E1G Flex'!D106</f>
        <v>0</v>
      </c>
      <c r="F102" s="238">
        <f>E102*'Dados auxiliares'!$H$55</f>
        <v>0</v>
      </c>
      <c r="G102" s="590"/>
      <c r="H102" s="294" t="e">
        <f t="shared" si="13"/>
        <v>#DIV/0!</v>
      </c>
      <c r="I102" s="294" t="e">
        <f t="shared" si="14"/>
        <v>#DIV/0!</v>
      </c>
    </row>
    <row r="103" spans="2:9" s="8" customFormat="1" x14ac:dyDescent="0.25">
      <c r="B103" s="273" t="s">
        <v>551</v>
      </c>
      <c r="C103" s="273" t="s">
        <v>409</v>
      </c>
      <c r="D103" s="232"/>
      <c r="E103" s="237">
        <f>'E1G Flex'!D107</f>
        <v>0</v>
      </c>
      <c r="F103" s="238">
        <f>E103*'Dados auxiliares'!$H$56</f>
        <v>0</v>
      </c>
      <c r="G103" s="590"/>
      <c r="H103" s="294" t="e">
        <f t="shared" si="13"/>
        <v>#DIV/0!</v>
      </c>
      <c r="I103" s="294" t="e">
        <f t="shared" si="14"/>
        <v>#DIV/0!</v>
      </c>
    </row>
    <row r="104" spans="2:9" s="8" customFormat="1" x14ac:dyDescent="0.25">
      <c r="B104" s="273" t="s">
        <v>558</v>
      </c>
      <c r="C104" s="273" t="s">
        <v>410</v>
      </c>
      <c r="D104" s="232"/>
      <c r="E104" s="237">
        <f>'E1G Flex'!D108</f>
        <v>0</v>
      </c>
      <c r="F104" s="238">
        <f>E104*'Dados auxiliares'!$H$57</f>
        <v>0</v>
      </c>
      <c r="G104" s="590"/>
      <c r="H104" s="294" t="e">
        <f t="shared" si="13"/>
        <v>#DIV/0!</v>
      </c>
      <c r="I104" s="294" t="e">
        <f t="shared" si="14"/>
        <v>#DIV/0!</v>
      </c>
    </row>
    <row r="105" spans="2:9" s="8" customFormat="1" x14ac:dyDescent="0.25">
      <c r="B105" s="273" t="s">
        <v>553</v>
      </c>
      <c r="C105" s="273" t="s">
        <v>409</v>
      </c>
      <c r="D105" s="232"/>
      <c r="E105" s="237">
        <f>'E1G Flex'!D109</f>
        <v>0</v>
      </c>
      <c r="F105" s="238">
        <f>E105*'Dados auxiliares'!$H$58</f>
        <v>0</v>
      </c>
      <c r="G105" s="590"/>
      <c r="H105" s="294" t="e">
        <f t="shared" si="13"/>
        <v>#DIV/0!</v>
      </c>
      <c r="I105" s="294" t="e">
        <f t="shared" si="14"/>
        <v>#DIV/0!</v>
      </c>
    </row>
    <row r="106" spans="2:9" s="8" customFormat="1" x14ac:dyDescent="0.25">
      <c r="B106" s="273" t="s">
        <v>559</v>
      </c>
      <c r="C106" s="273" t="s">
        <v>410</v>
      </c>
      <c r="D106" s="232"/>
      <c r="E106" s="237">
        <f>'E1G Flex'!D110</f>
        <v>0</v>
      </c>
      <c r="F106" s="238">
        <f>E106*'Dados auxiliares'!$H$59</f>
        <v>0</v>
      </c>
      <c r="G106" s="590"/>
      <c r="H106" s="294" t="e">
        <f t="shared" si="13"/>
        <v>#DIV/0!</v>
      </c>
      <c r="I106" s="294" t="e">
        <f t="shared" si="14"/>
        <v>#DIV/0!</v>
      </c>
    </row>
    <row r="107" spans="2:9" s="8" customFormat="1" x14ac:dyDescent="0.25">
      <c r="B107" s="273" t="s">
        <v>554</v>
      </c>
      <c r="C107" s="273" t="s">
        <v>409</v>
      </c>
      <c r="D107" s="232"/>
      <c r="E107" s="237">
        <f>'E1G Flex'!D111</f>
        <v>0</v>
      </c>
      <c r="F107" s="238">
        <f>E107*'Dados auxiliares'!$H$60</f>
        <v>0</v>
      </c>
      <c r="G107" s="590"/>
      <c r="H107" s="294" t="e">
        <f t="shared" si="13"/>
        <v>#DIV/0!</v>
      </c>
      <c r="I107" s="294" t="e">
        <f t="shared" si="14"/>
        <v>#DIV/0!</v>
      </c>
    </row>
    <row r="108" spans="2:9" s="8" customFormat="1" x14ac:dyDescent="0.25">
      <c r="B108" s="273" t="s">
        <v>555</v>
      </c>
      <c r="C108" s="273" t="s">
        <v>409</v>
      </c>
      <c r="D108" s="232"/>
      <c r="E108" s="237">
        <f>'E1G Flex'!D112</f>
        <v>0</v>
      </c>
      <c r="F108" s="238">
        <f>E108*'Dados auxiliares'!$H$61</f>
        <v>0</v>
      </c>
      <c r="G108" s="590"/>
      <c r="H108" s="294" t="e">
        <f t="shared" si="13"/>
        <v>#DIV/0!</v>
      </c>
      <c r="I108" s="294" t="e">
        <f t="shared" si="14"/>
        <v>#DIV/0!</v>
      </c>
    </row>
    <row r="109" spans="2:9" s="8" customFormat="1" x14ac:dyDescent="0.25">
      <c r="B109" s="273" t="s">
        <v>399</v>
      </c>
      <c r="C109" s="273" t="s">
        <v>409</v>
      </c>
      <c r="D109" s="232"/>
      <c r="E109" s="237">
        <f>'E1G Flex'!D113</f>
        <v>0</v>
      </c>
      <c r="F109" s="238">
        <f>E109*'Dados auxiliares'!$H$62</f>
        <v>0</v>
      </c>
      <c r="G109" s="590"/>
      <c r="H109" s="294" t="e">
        <f t="shared" si="13"/>
        <v>#DIV/0!</v>
      </c>
      <c r="I109" s="294" t="e">
        <f t="shared" si="14"/>
        <v>#DIV/0!</v>
      </c>
    </row>
    <row r="110" spans="2:9" s="8" customFormat="1" x14ac:dyDescent="0.25">
      <c r="B110" s="273" t="s">
        <v>556</v>
      </c>
      <c r="C110" s="273" t="s">
        <v>409</v>
      </c>
      <c r="D110" s="232"/>
      <c r="E110" s="237">
        <f>'E1G Flex'!D114</f>
        <v>0</v>
      </c>
      <c r="F110" s="238">
        <f>E110*'Dados auxiliares'!$H$63</f>
        <v>0</v>
      </c>
      <c r="G110" s="590"/>
      <c r="H110" s="294" t="e">
        <f t="shared" si="13"/>
        <v>#DIV/0!</v>
      </c>
      <c r="I110" s="294" t="e">
        <f t="shared" si="14"/>
        <v>#DIV/0!</v>
      </c>
    </row>
    <row r="111" spans="2:9" s="8" customFormat="1" x14ac:dyDescent="0.25">
      <c r="B111" s="273" t="s">
        <v>557</v>
      </c>
      <c r="C111" s="273" t="s">
        <v>409</v>
      </c>
      <c r="D111" s="232"/>
      <c r="E111" s="237">
        <f>'E1G Flex'!D115</f>
        <v>0</v>
      </c>
      <c r="F111" s="238">
        <f>E111*'Dados auxiliares'!$H$64</f>
        <v>0</v>
      </c>
      <c r="G111" s="590"/>
      <c r="H111" s="294" t="e">
        <f t="shared" si="13"/>
        <v>#DIV/0!</v>
      </c>
      <c r="I111" s="294" t="e">
        <f t="shared" si="14"/>
        <v>#DIV/0!</v>
      </c>
    </row>
    <row r="112" spans="2:9" s="8" customFormat="1" x14ac:dyDescent="0.25">
      <c r="B112" s="273" t="s">
        <v>560</v>
      </c>
      <c r="C112" s="273" t="s">
        <v>410</v>
      </c>
      <c r="D112" s="241"/>
      <c r="E112" s="237">
        <f>'E1G Flex'!D116</f>
        <v>0</v>
      </c>
      <c r="F112" s="242">
        <f>E112*'Dados auxiliares'!$H$66</f>
        <v>0</v>
      </c>
      <c r="G112" s="591"/>
      <c r="H112" s="294" t="e">
        <f t="shared" si="13"/>
        <v>#DIV/0!</v>
      </c>
      <c r="I112" s="294" t="e">
        <f t="shared" si="14"/>
        <v>#DIV/0!</v>
      </c>
    </row>
    <row r="113" spans="2:9" s="8" customFormat="1" x14ac:dyDescent="0.25">
      <c r="B113" s="273" t="s">
        <v>561</v>
      </c>
      <c r="C113" s="273" t="s">
        <v>410</v>
      </c>
      <c r="D113" s="241"/>
      <c r="E113" s="237">
        <f>'E1G Flex'!D117</f>
        <v>0</v>
      </c>
      <c r="F113" s="242">
        <f>E113*'Dados auxiliares'!$H$67</f>
        <v>0</v>
      </c>
      <c r="G113" s="591"/>
      <c r="H113" s="294" t="e">
        <f t="shared" si="13"/>
        <v>#DIV/0!</v>
      </c>
      <c r="I113" s="294" t="e">
        <f t="shared" si="14"/>
        <v>#DIV/0!</v>
      </c>
    </row>
    <row r="114" spans="2:9" s="8" customFormat="1" x14ac:dyDescent="0.25">
      <c r="B114" s="273" t="s">
        <v>562</v>
      </c>
      <c r="C114" s="273" t="s">
        <v>411</v>
      </c>
      <c r="D114" s="232"/>
      <c r="E114" s="237">
        <f>'E1G Flex'!D118</f>
        <v>0</v>
      </c>
      <c r="F114" s="238">
        <f>E114*'Dados auxiliares'!H$68</f>
        <v>0</v>
      </c>
      <c r="G114" s="590"/>
      <c r="H114" s="294" t="e">
        <f t="shared" si="13"/>
        <v>#DIV/0!</v>
      </c>
      <c r="I114" s="294" t="e">
        <f t="shared" si="14"/>
        <v>#DIV/0!</v>
      </c>
    </row>
    <row r="115" spans="2:9" s="8" customFormat="1" x14ac:dyDescent="0.25">
      <c r="B115" s="273" t="s">
        <v>256</v>
      </c>
      <c r="C115" s="273" t="s">
        <v>409</v>
      </c>
      <c r="D115" s="232"/>
      <c r="E115" s="237">
        <f>'E1G Flex'!D119</f>
        <v>0</v>
      </c>
      <c r="F115" s="238">
        <f>E115*'Dados auxiliares'!H$69</f>
        <v>0</v>
      </c>
      <c r="G115" s="590"/>
      <c r="H115" s="294" t="e">
        <f t="shared" si="13"/>
        <v>#DIV/0!</v>
      </c>
      <c r="I115" s="294" t="e">
        <f t="shared" si="14"/>
        <v>#DIV/0!</v>
      </c>
    </row>
    <row r="116" spans="2:9" s="8" customFormat="1" x14ac:dyDescent="0.25">
      <c r="B116" s="273" t="s">
        <v>404</v>
      </c>
      <c r="C116" s="273" t="s">
        <v>410</v>
      </c>
      <c r="D116" s="241"/>
      <c r="E116" s="237">
        <f>'E1G Flex'!D120</f>
        <v>0</v>
      </c>
      <c r="F116" s="238">
        <f>E116*'Dados auxiliares'!H$70</f>
        <v>0</v>
      </c>
      <c r="G116" s="590"/>
      <c r="H116" s="294" t="e">
        <f t="shared" si="13"/>
        <v>#DIV/0!</v>
      </c>
      <c r="I116" s="294" t="e">
        <f t="shared" si="14"/>
        <v>#DIV/0!</v>
      </c>
    </row>
    <row r="117" spans="2:9" s="8" customFormat="1" x14ac:dyDescent="0.25">
      <c r="B117" s="273" t="s">
        <v>405</v>
      </c>
      <c r="C117" s="273" t="s">
        <v>411</v>
      </c>
      <c r="D117" s="232"/>
      <c r="E117" s="237">
        <f>'E1G Flex'!D121</f>
        <v>0</v>
      </c>
      <c r="F117" s="238">
        <f>E117*'Dados auxiliares'!H$71</f>
        <v>0</v>
      </c>
      <c r="G117" s="590"/>
      <c r="H117" s="294" t="e">
        <f t="shared" si="13"/>
        <v>#DIV/0!</v>
      </c>
      <c r="I117" s="294" t="e">
        <f t="shared" si="14"/>
        <v>#DIV/0!</v>
      </c>
    </row>
    <row r="118" spans="2:9" s="8" customFormat="1" x14ac:dyDescent="0.25">
      <c r="B118" s="273" t="s">
        <v>406</v>
      </c>
      <c r="C118" s="273" t="s">
        <v>1</v>
      </c>
      <c r="D118" s="232"/>
      <c r="E118" s="237">
        <f>SUM('E1G Flex'!D124:D128)</f>
        <v>0</v>
      </c>
      <c r="F118" s="314">
        <v>0</v>
      </c>
      <c r="G118" s="614"/>
      <c r="H118" s="294" t="e">
        <f t="shared" si="13"/>
        <v>#DIV/0!</v>
      </c>
      <c r="I118" s="294" t="e">
        <f t="shared" si="14"/>
        <v>#DIV/0!</v>
      </c>
    </row>
    <row r="119" spans="2:9" s="5" customFormat="1" x14ac:dyDescent="0.25">
      <c r="B119" s="284" t="s">
        <v>340</v>
      </c>
      <c r="C119" s="285"/>
      <c r="D119" s="285"/>
      <c r="E119" s="288"/>
      <c r="F119" s="289"/>
      <c r="G119" s="593"/>
      <c r="H119" s="287"/>
      <c r="I119" s="287"/>
    </row>
    <row r="120" spans="2:9" s="5" customFormat="1" x14ac:dyDescent="0.25">
      <c r="B120" s="273" t="s">
        <v>214</v>
      </c>
      <c r="C120" s="273" t="s">
        <v>1</v>
      </c>
      <c r="D120" s="246">
        <f>SUM(D121:D138)</f>
        <v>4.0067465003383447</v>
      </c>
      <c r="E120" s="246" t="e">
        <f>SUM(E121:E138)</f>
        <v>#DIV/0!</v>
      </c>
      <c r="F120" s="247" t="e">
        <f>SUM(F121:F138)</f>
        <v>#DIV/0!</v>
      </c>
      <c r="G120" s="594"/>
      <c r="H120" s="549" t="e">
        <f>(F120/$E$171)*$F$171*$D$183</f>
        <v>#DIV/0!</v>
      </c>
      <c r="I120" s="549" t="e">
        <f>(F120/$E$172)*$F$172*$D$183</f>
        <v>#DIV/0!</v>
      </c>
    </row>
    <row r="121" spans="2:9" s="5" customFormat="1" outlineLevel="1" x14ac:dyDescent="0.25">
      <c r="B121" s="273" t="s">
        <v>32</v>
      </c>
      <c r="C121" s="273" t="s">
        <v>1</v>
      </c>
      <c r="D121" s="245">
        <v>0.75187392980081791</v>
      </c>
      <c r="E121" s="237" t="e">
        <f>D121*$E$94</f>
        <v>#DIV/0!</v>
      </c>
      <c r="F121" s="238" t="e">
        <f>E121*'Dados auxiliares'!$H$72</f>
        <v>#DIV/0!</v>
      </c>
      <c r="G121" s="590"/>
      <c r="H121" s="294"/>
      <c r="I121" s="294"/>
    </row>
    <row r="122" spans="2:9" s="5" customFormat="1" outlineLevel="1" x14ac:dyDescent="0.25">
      <c r="B122" s="273" t="s">
        <v>78</v>
      </c>
      <c r="C122" s="273" t="s">
        <v>1</v>
      </c>
      <c r="D122" s="245">
        <v>2.0932993027155846</v>
      </c>
      <c r="E122" s="237" t="e">
        <f t="shared" ref="E122:E138" si="15">D122*$E$94</f>
        <v>#DIV/0!</v>
      </c>
      <c r="F122" s="238" t="e">
        <f>E122*'Dados auxiliares'!$H$74</f>
        <v>#DIV/0!</v>
      </c>
      <c r="G122" s="590"/>
      <c r="H122" s="294"/>
      <c r="I122" s="294"/>
    </row>
    <row r="123" spans="2:9" s="5" customFormat="1" outlineLevel="1" x14ac:dyDescent="0.25">
      <c r="B123" s="273" t="s">
        <v>79</v>
      </c>
      <c r="C123" s="273" t="s">
        <v>1</v>
      </c>
      <c r="D123" s="245">
        <v>2.36375297890494E-3</v>
      </c>
      <c r="E123" s="237" t="e">
        <f t="shared" si="15"/>
        <v>#DIV/0!</v>
      </c>
      <c r="F123" s="238" t="e">
        <f>E123*'Dados auxiliares'!$H$74</f>
        <v>#DIV/0!</v>
      </c>
      <c r="G123" s="590"/>
      <c r="H123" s="294"/>
      <c r="I123" s="294"/>
    </row>
    <row r="124" spans="2:9" s="5" customFormat="1" outlineLevel="1" x14ac:dyDescent="0.25">
      <c r="B124" s="273" t="s">
        <v>80</v>
      </c>
      <c r="C124" s="273" t="s">
        <v>1</v>
      </c>
      <c r="D124" s="245">
        <v>1.8326164347288825E-2</v>
      </c>
      <c r="E124" s="237" t="e">
        <f t="shared" si="15"/>
        <v>#DIV/0!</v>
      </c>
      <c r="F124" s="238" t="e">
        <f>E124*'Dados auxiliares'!$H$74</f>
        <v>#DIV/0!</v>
      </c>
      <c r="G124" s="590"/>
      <c r="H124" s="294"/>
      <c r="I124" s="294"/>
    </row>
    <row r="125" spans="2:9" s="5" customFormat="1" outlineLevel="1" x14ac:dyDescent="0.25">
      <c r="B125" s="273" t="s">
        <v>81</v>
      </c>
      <c r="C125" s="273" t="s">
        <v>1</v>
      </c>
      <c r="D125" s="245">
        <v>5.5545470593427286E-3</v>
      </c>
      <c r="E125" s="237" t="e">
        <f t="shared" si="15"/>
        <v>#DIV/0!</v>
      </c>
      <c r="F125" s="238" t="e">
        <f>E125*'Dados auxiliares'!$H$74</f>
        <v>#DIV/0!</v>
      </c>
      <c r="G125" s="590"/>
      <c r="H125" s="294"/>
      <c r="I125" s="294"/>
    </row>
    <row r="126" spans="2:9" s="5" customFormat="1" outlineLevel="1" x14ac:dyDescent="0.25">
      <c r="B126" s="273" t="s">
        <v>82</v>
      </c>
      <c r="C126" s="273" t="s">
        <v>1</v>
      </c>
      <c r="D126" s="245">
        <v>1.1075833357851068E-2</v>
      </c>
      <c r="E126" s="237" t="e">
        <f t="shared" si="15"/>
        <v>#DIV/0!</v>
      </c>
      <c r="F126" s="238" t="e">
        <f>E126*'Dados auxiliares'!$H$74</f>
        <v>#DIV/0!</v>
      </c>
      <c r="G126" s="590"/>
      <c r="H126" s="294"/>
      <c r="I126" s="294"/>
    </row>
    <row r="127" spans="2:9" s="5" customFormat="1" outlineLevel="1" x14ac:dyDescent="0.25">
      <c r="B127" s="273" t="s">
        <v>76</v>
      </c>
      <c r="C127" s="273" t="s">
        <v>1</v>
      </c>
      <c r="D127" s="245">
        <v>3.1056518285327604E-2</v>
      </c>
      <c r="E127" s="237" t="e">
        <f t="shared" si="15"/>
        <v>#DIV/0!</v>
      </c>
      <c r="F127" s="238" t="e">
        <f>E127*'Dados auxiliares'!$H$74</f>
        <v>#DIV/0!</v>
      </c>
      <c r="G127" s="590"/>
      <c r="H127" s="294"/>
      <c r="I127" s="294"/>
    </row>
    <row r="128" spans="2:9" s="5" customFormat="1" outlineLevel="1" x14ac:dyDescent="0.25">
      <c r="B128" s="273" t="s">
        <v>77</v>
      </c>
      <c r="C128" s="273" t="s">
        <v>1</v>
      </c>
      <c r="D128" s="245">
        <v>9.1630821736444126E-3</v>
      </c>
      <c r="E128" s="237" t="e">
        <f t="shared" si="15"/>
        <v>#DIV/0!</v>
      </c>
      <c r="F128" s="238" t="e">
        <f>E128*'Dados auxiliares'!$H$74</f>
        <v>#DIV/0!</v>
      </c>
      <c r="G128" s="590"/>
      <c r="H128" s="294"/>
      <c r="I128" s="294"/>
    </row>
    <row r="129" spans="2:9" s="5" customFormat="1" outlineLevel="1" x14ac:dyDescent="0.25">
      <c r="B129" s="273" t="s">
        <v>74</v>
      </c>
      <c r="C129" s="273" t="s">
        <v>1</v>
      </c>
      <c r="D129" s="245">
        <v>1.1264232545823649E-2</v>
      </c>
      <c r="E129" s="237" t="e">
        <f t="shared" si="15"/>
        <v>#DIV/0!</v>
      </c>
      <c r="F129" s="238" t="e">
        <f>E129*'Dados auxiliares'!$H$74</f>
        <v>#DIV/0!</v>
      </c>
      <c r="G129" s="590"/>
      <c r="H129" s="294"/>
      <c r="I129" s="294"/>
    </row>
    <row r="130" spans="2:9" s="5" customFormat="1" outlineLevel="1" x14ac:dyDescent="0.25">
      <c r="B130" s="273" t="s">
        <v>75</v>
      </c>
      <c r="C130" s="273" t="s">
        <v>1</v>
      </c>
      <c r="D130" s="245">
        <v>1.2422607314131043E-2</v>
      </c>
      <c r="E130" s="237" t="e">
        <f t="shared" si="15"/>
        <v>#DIV/0!</v>
      </c>
      <c r="F130" s="238" t="e">
        <f>E130*'Dados auxiliares'!$H$74</f>
        <v>#DIV/0!</v>
      </c>
      <c r="G130" s="590"/>
      <c r="H130" s="294"/>
      <c r="I130" s="294"/>
    </row>
    <row r="131" spans="2:9" s="5" customFormat="1" outlineLevel="1" x14ac:dyDescent="0.25">
      <c r="B131" s="273" t="s">
        <v>83</v>
      </c>
      <c r="C131" s="273" t="s">
        <v>1</v>
      </c>
      <c r="D131" s="245">
        <v>0.16669375386154345</v>
      </c>
      <c r="E131" s="237" t="e">
        <f t="shared" si="15"/>
        <v>#DIV/0!</v>
      </c>
      <c r="F131" s="238" t="e">
        <f>E131*'Dados auxiliares'!$H$74</f>
        <v>#DIV/0!</v>
      </c>
      <c r="G131" s="590"/>
      <c r="H131" s="294"/>
      <c r="I131" s="294"/>
    </row>
    <row r="132" spans="2:9" s="5" customFormat="1" outlineLevel="1" x14ac:dyDescent="0.25">
      <c r="B132" s="273" t="s">
        <v>73</v>
      </c>
      <c r="C132" s="273" t="s">
        <v>1</v>
      </c>
      <c r="D132" s="245">
        <v>9.9529583100414848E-2</v>
      </c>
      <c r="E132" s="237" t="e">
        <f t="shared" si="15"/>
        <v>#DIV/0!</v>
      </c>
      <c r="F132" s="238" t="e">
        <f>E132*'Dados auxiliares'!$H$74</f>
        <v>#DIV/0!</v>
      </c>
      <c r="G132" s="590"/>
      <c r="H132" s="294"/>
      <c r="I132" s="294"/>
    </row>
    <row r="133" spans="2:9" s="5" customFormat="1" outlineLevel="1" x14ac:dyDescent="0.25">
      <c r="B133" s="273" t="s">
        <v>2</v>
      </c>
      <c r="C133" s="273" t="s">
        <v>1</v>
      </c>
      <c r="D133" s="245">
        <v>6.649568978198829E-2</v>
      </c>
      <c r="E133" s="237" t="e">
        <f t="shared" si="15"/>
        <v>#DIV/0!</v>
      </c>
      <c r="F133" s="238" t="e">
        <f>E133*'Dados auxiliares'!$H$74</f>
        <v>#DIV/0!</v>
      </c>
      <c r="G133" s="590"/>
      <c r="H133" s="294"/>
      <c r="I133" s="294"/>
    </row>
    <row r="134" spans="2:9" s="5" customFormat="1" outlineLevel="1" x14ac:dyDescent="0.25">
      <c r="B134" s="273" t="s">
        <v>72</v>
      </c>
      <c r="C134" s="273" t="s">
        <v>1</v>
      </c>
      <c r="D134" s="245">
        <v>5.0786136691282468E-3</v>
      </c>
      <c r="E134" s="237" t="e">
        <f t="shared" si="15"/>
        <v>#DIV/0!</v>
      </c>
      <c r="F134" s="238" t="e">
        <f>E134*'Dados auxiliares'!$H$74</f>
        <v>#DIV/0!</v>
      </c>
      <c r="G134" s="590"/>
      <c r="H134" s="294"/>
      <c r="I134" s="294"/>
    </row>
    <row r="135" spans="2:9" s="5" customFormat="1" outlineLevel="1" x14ac:dyDescent="0.25">
      <c r="B135" s="273" t="s">
        <v>70</v>
      </c>
      <c r="C135" s="273" t="s">
        <v>1</v>
      </c>
      <c r="D135" s="245">
        <v>3.9458648386242615E-3</v>
      </c>
      <c r="E135" s="237" t="e">
        <f t="shared" si="15"/>
        <v>#DIV/0!</v>
      </c>
      <c r="F135" s="238" t="e">
        <f>E135*'Dados auxiliares'!$H$74</f>
        <v>#DIV/0!</v>
      </c>
      <c r="G135" s="590"/>
      <c r="H135" s="294"/>
      <c r="I135" s="294"/>
    </row>
    <row r="136" spans="2:9" s="5" customFormat="1" outlineLevel="1" x14ac:dyDescent="0.25">
      <c r="B136" s="273" t="s">
        <v>71</v>
      </c>
      <c r="C136" s="273" t="s">
        <v>1</v>
      </c>
      <c r="D136" s="245">
        <v>1.6362646738650741E-3</v>
      </c>
      <c r="E136" s="237" t="e">
        <f t="shared" si="15"/>
        <v>#DIV/0!</v>
      </c>
      <c r="F136" s="238" t="e">
        <f>E136*'Dados auxiliares'!$H$74</f>
        <v>#DIV/0!</v>
      </c>
      <c r="G136" s="590"/>
      <c r="H136" s="294"/>
      <c r="I136" s="294"/>
    </row>
    <row r="137" spans="2:9" s="5" customFormat="1" outlineLevel="1" x14ac:dyDescent="0.25">
      <c r="B137" s="273" t="s">
        <v>69</v>
      </c>
      <c r="C137" s="273" t="s">
        <v>1</v>
      </c>
      <c r="D137" s="245">
        <v>0.14463274588837566</v>
      </c>
      <c r="E137" s="237" t="e">
        <f t="shared" si="15"/>
        <v>#DIV/0!</v>
      </c>
      <c r="F137" s="238" t="e">
        <f>E137*'Dados auxiliares'!$H$74</f>
        <v>#DIV/0!</v>
      </c>
      <c r="G137" s="590"/>
      <c r="H137" s="294"/>
      <c r="I137" s="294"/>
    </row>
    <row r="138" spans="2:9" s="5" customFormat="1" outlineLevel="1" x14ac:dyDescent="0.25">
      <c r="B138" s="273" t="s">
        <v>68</v>
      </c>
      <c r="C138" s="273" t="s">
        <v>1</v>
      </c>
      <c r="D138" s="245">
        <v>0.57233401394568828</v>
      </c>
      <c r="E138" s="237" t="e">
        <f t="shared" si="15"/>
        <v>#DIV/0!</v>
      </c>
      <c r="F138" s="238" t="e">
        <f>E138*'Dados auxiliares'!$H$74</f>
        <v>#DIV/0!</v>
      </c>
      <c r="G138" s="590"/>
      <c r="H138" s="294"/>
      <c r="I138" s="294"/>
    </row>
    <row r="139" spans="2:9" s="5" customFormat="1" x14ac:dyDescent="0.25">
      <c r="B139" s="284" t="s">
        <v>243</v>
      </c>
      <c r="C139" s="285"/>
      <c r="D139" s="285"/>
      <c r="E139" s="288"/>
      <c r="F139" s="289"/>
      <c r="G139" s="593"/>
      <c r="H139" s="287"/>
      <c r="I139" s="287"/>
    </row>
    <row r="140" spans="2:9" s="5" customFormat="1" x14ac:dyDescent="0.25">
      <c r="B140" s="273" t="s">
        <v>309</v>
      </c>
      <c r="C140" s="273" t="s">
        <v>1</v>
      </c>
      <c r="D140" s="232"/>
      <c r="E140" s="237">
        <f>('E1G Flex'!$D$131*(1-0.08)+'E1G Flex'!$D$132*(1-0.1)+'E1G Flex'!$D$133*(1-'E1G Flex'!$G$133)+'E1G Flex'!$D$134*(1-0.2)+'E1G Flex'!$D$135*(1-0.3)+'E1G Flex'!$D$136*(1-1))*('Dados auxiliares'!$D$26)</f>
        <v>0</v>
      </c>
      <c r="F140" s="238">
        <f>E140*'Dados auxiliares'!$H$116</f>
        <v>0</v>
      </c>
      <c r="G140" s="590"/>
      <c r="H140" s="294" t="e">
        <f>(F140/$E$171)*$F$171*$D$183</f>
        <v>#DIV/0!</v>
      </c>
      <c r="I140" s="294" t="e">
        <f>(F140/$E$172)*$F$172*$D$183</f>
        <v>#DIV/0!</v>
      </c>
    </row>
    <row r="141" spans="2:9" s="5" customFormat="1" x14ac:dyDescent="0.25">
      <c r="B141" s="273" t="s">
        <v>187</v>
      </c>
      <c r="C141" s="273" t="s">
        <v>1</v>
      </c>
      <c r="D141" s="232"/>
      <c r="E141" s="237">
        <f>('E1G Flex'!$D$131*(0.08)+'E1G Flex'!$D$132*(0.1)+'E1G Flex'!$D$133*('E1G Flex'!$G$133)+'E1G Flex'!$D$134*(0.2)+'E1G Flex'!$D$135*(0.3)+'E1G Flex'!$D$136*(1))*('Dados auxiliares'!$D$17)</f>
        <v>0</v>
      </c>
      <c r="F141" s="238">
        <f>E141*'Dados auxiliares'!$H$117</f>
        <v>0</v>
      </c>
      <c r="G141" s="590"/>
      <c r="H141" s="294" t="e">
        <f>(F141/$E$171)*$F$171*$D$183</f>
        <v>#DIV/0!</v>
      </c>
      <c r="I141" s="294" t="e">
        <f>(F141/$E$172)*$F$172*$D$183</f>
        <v>#DIV/0!</v>
      </c>
    </row>
    <row r="142" spans="2:9" s="5" customFormat="1" x14ac:dyDescent="0.25">
      <c r="B142" s="273" t="s">
        <v>188</v>
      </c>
      <c r="C142" s="273" t="s">
        <v>1</v>
      </c>
      <c r="D142" s="232"/>
      <c r="E142" s="237">
        <f>'E1G Flex'!$D$137*(1-'FE''s queima combustíveis'!$D$19)*'Dados auxiliares'!$D$24</f>
        <v>0</v>
      </c>
      <c r="F142" s="238">
        <f>E142*'Dados auxiliares'!$H$120</f>
        <v>0</v>
      </c>
      <c r="G142" s="590"/>
      <c r="H142" s="294" t="e">
        <f>(F142/$E$171)*$F$171*$D$183</f>
        <v>#DIV/0!</v>
      </c>
      <c r="I142" s="294" t="e">
        <f>(F142/$E$172)*$F$172*$D$183</f>
        <v>#DIV/0!</v>
      </c>
    </row>
    <row r="143" spans="2:9" s="5" customFormat="1" x14ac:dyDescent="0.25">
      <c r="B143" s="273" t="s">
        <v>45</v>
      </c>
      <c r="C143" s="273" t="s">
        <v>1</v>
      </c>
      <c r="D143" s="232"/>
      <c r="E143" s="237">
        <f>'E1G Flex'!$D$137*('FE''s queima combustíveis'!$D$19)*'Dados auxiliares'!$D$15</f>
        <v>0</v>
      </c>
      <c r="F143" s="238">
        <f>E143*'Dados auxiliares'!$H$121</f>
        <v>0</v>
      </c>
      <c r="G143" s="590"/>
      <c r="H143" s="294" t="e">
        <f>(F143/$E$171)*$F$171*$D$183</f>
        <v>#DIV/0!</v>
      </c>
      <c r="I143" s="294" t="e">
        <f>(F143/$E$172)*$F$172*$D$183</f>
        <v>#DIV/0!</v>
      </c>
    </row>
    <row r="144" spans="2:9" s="5" customFormat="1" x14ac:dyDescent="0.25">
      <c r="B144" s="273" t="s">
        <v>46</v>
      </c>
      <c r="C144" s="273" t="s">
        <v>1</v>
      </c>
      <c r="D144" s="232"/>
      <c r="E144" s="237">
        <f>'E1G Flex'!$D$138*'Dados auxiliares'!$D$16</f>
        <v>0</v>
      </c>
      <c r="F144" s="238">
        <f>E144*'Dados auxiliares'!$H$122</f>
        <v>0</v>
      </c>
      <c r="G144" s="590"/>
      <c r="H144" s="294" t="e">
        <f>(F144/$E$171)*$F$171*$D$183</f>
        <v>#DIV/0!</v>
      </c>
      <c r="I144" s="294" t="e">
        <f>(F144/$E$172)*$F$172*$D$183</f>
        <v>#DIV/0!</v>
      </c>
    </row>
    <row r="145" spans="2:9" s="5" customFormat="1" x14ac:dyDescent="0.25">
      <c r="B145" s="273" t="s">
        <v>468</v>
      </c>
      <c r="C145" s="273" t="s">
        <v>169</v>
      </c>
      <c r="D145" s="232"/>
      <c r="E145" s="237">
        <f>'E1G Flex'!D139</f>
        <v>0</v>
      </c>
      <c r="F145" s="238">
        <f>E145*('Dados auxiliares'!$D$18*1000)*'Dados auxiliares'!$F$18*'Dados auxiliares'!$H$125</f>
        <v>0</v>
      </c>
      <c r="G145" s="590"/>
      <c r="H145" s="294" t="e">
        <f t="shared" ref="H145" si="16">(F145/$E$171)*$F$171*$D$183</f>
        <v>#DIV/0!</v>
      </c>
      <c r="I145" s="294" t="e">
        <f t="shared" ref="I145" si="17">(F145/$E$172)*$F$172*$D$183</f>
        <v>#DIV/0!</v>
      </c>
    </row>
    <row r="146" spans="2:9" s="5" customFormat="1" x14ac:dyDescent="0.25">
      <c r="B146" s="273" t="s">
        <v>376</v>
      </c>
      <c r="C146" s="273" t="s">
        <v>57</v>
      </c>
      <c r="D146" s="232"/>
      <c r="E146" s="237">
        <f>'E1G Flex'!D141</f>
        <v>0</v>
      </c>
      <c r="F146" s="238">
        <f>E146*'Dados auxiliares'!$H$107</f>
        <v>0</v>
      </c>
      <c r="G146" s="590"/>
      <c r="H146" s="294" t="e">
        <f>(F146/$E$171)*$F$171*$D$183</f>
        <v>#DIV/0!</v>
      </c>
      <c r="I146" s="294" t="e">
        <f>(F146/$E$172)*$F$172*$D$183</f>
        <v>#DIV/0!</v>
      </c>
    </row>
    <row r="147" spans="2:9" s="5" customFormat="1" x14ac:dyDescent="0.25">
      <c r="B147" s="273" t="s">
        <v>375</v>
      </c>
      <c r="C147" s="273" t="s">
        <v>57</v>
      </c>
      <c r="D147" s="232"/>
      <c r="E147" s="237">
        <f>'E1G Flex'!D142</f>
        <v>0</v>
      </c>
      <c r="F147" s="238">
        <f>E147*'Dados auxiliares'!$H$108</f>
        <v>0</v>
      </c>
      <c r="G147" s="590"/>
      <c r="H147" s="294" t="e">
        <f>(F147/$E$171)*$F$171*$D$183</f>
        <v>#DIV/0!</v>
      </c>
      <c r="I147" s="294" t="e">
        <f>(F147/$E$172)*$F$172*$D$183</f>
        <v>#DIV/0!</v>
      </c>
    </row>
    <row r="148" spans="2:9" s="5" customFormat="1" x14ac:dyDescent="0.25">
      <c r="B148" s="273" t="s">
        <v>372</v>
      </c>
      <c r="C148" s="273" t="s">
        <v>57</v>
      </c>
      <c r="D148" s="232"/>
      <c r="E148" s="237">
        <f>'E1G Flex'!D143</f>
        <v>0</v>
      </c>
      <c r="F148" s="238">
        <f>E148*'Dados auxiliares'!$H$109</f>
        <v>0</v>
      </c>
      <c r="G148" s="590"/>
      <c r="H148" s="294" t="e">
        <f>(F148/$E$171)*$F$171*$D$183</f>
        <v>#DIV/0!</v>
      </c>
      <c r="I148" s="294" t="e">
        <f>(F148/$E$172)*$F$172*$D$183</f>
        <v>#DIV/0!</v>
      </c>
    </row>
    <row r="149" spans="2:9" s="5" customFormat="1" x14ac:dyDescent="0.25">
      <c r="B149" s="273" t="s">
        <v>373</v>
      </c>
      <c r="C149" s="273" t="s">
        <v>57</v>
      </c>
      <c r="D149" s="232"/>
      <c r="E149" s="237">
        <f>'E1G Flex'!D144</f>
        <v>0</v>
      </c>
      <c r="F149" s="238">
        <f>E149*'Dados auxiliares'!$H$110</f>
        <v>0</v>
      </c>
      <c r="G149" s="590"/>
      <c r="H149" s="294" t="e">
        <f>(F149/$E$171)*$F$171*$D$183</f>
        <v>#DIV/0!</v>
      </c>
      <c r="I149" s="294" t="e">
        <f>(F149/$E$172)*$F$172*$D$183</f>
        <v>#DIV/0!</v>
      </c>
    </row>
    <row r="150" spans="2:9" s="5" customFormat="1" x14ac:dyDescent="0.25">
      <c r="B150" s="273" t="s">
        <v>374</v>
      </c>
      <c r="C150" s="273" t="s">
        <v>57</v>
      </c>
      <c r="D150" s="232"/>
      <c r="E150" s="237">
        <f>'E1G Flex'!D145</f>
        <v>0</v>
      </c>
      <c r="F150" s="238">
        <f>E150*'Dados auxiliares'!$H$111</f>
        <v>0</v>
      </c>
      <c r="G150" s="590"/>
      <c r="H150" s="294" t="e">
        <f>(F150/$E$171)*$F$171*$D$183</f>
        <v>#DIV/0!</v>
      </c>
      <c r="I150" s="294" t="e">
        <f>(F150/$E$172)*$F$172*$D$183</f>
        <v>#DIV/0!</v>
      </c>
    </row>
    <row r="151" spans="2:9" s="5" customFormat="1" ht="18" x14ac:dyDescent="0.25">
      <c r="B151" s="281" t="s">
        <v>52</v>
      </c>
      <c r="C151" s="381"/>
      <c r="D151" s="381" t="s">
        <v>51</v>
      </c>
      <c r="E151" s="381" t="s">
        <v>610</v>
      </c>
      <c r="F151" s="283" t="s">
        <v>613</v>
      </c>
      <c r="G151" s="272"/>
      <c r="H151" s="283" t="s">
        <v>535</v>
      </c>
      <c r="I151" s="283" t="s">
        <v>535</v>
      </c>
    </row>
    <row r="152" spans="2:9" s="5" customFormat="1" ht="18" x14ac:dyDescent="0.25">
      <c r="B152" s="273" t="s">
        <v>567</v>
      </c>
      <c r="C152" s="273" t="s">
        <v>1</v>
      </c>
      <c r="D152" s="237" t="e">
        <f>'_Emissões Agrícolas'!$H$54</f>
        <v>#DIV/0!</v>
      </c>
      <c r="E152" s="237" t="e">
        <f>D152*$E$94</f>
        <v>#DIV/0!</v>
      </c>
      <c r="F152" s="238" t="e">
        <f>E152*1000*'Dados auxiliares'!$D$9</f>
        <v>#DIV/0!</v>
      </c>
      <c r="G152" s="590"/>
      <c r="H152" s="294" t="e">
        <f t="shared" ref="H152:H162" si="18">(F152/$E$171)*$F$171*$D$183</f>
        <v>#DIV/0!</v>
      </c>
      <c r="I152" s="294" t="e">
        <f t="shared" ref="I152:I162" si="19">(F152/$E$172)*$F$172*$D$183</f>
        <v>#DIV/0!</v>
      </c>
    </row>
    <row r="153" spans="2:9" s="5" customFormat="1" ht="18" x14ac:dyDescent="0.25">
      <c r="B153" s="273" t="s">
        <v>568</v>
      </c>
      <c r="C153" s="273" t="s">
        <v>1</v>
      </c>
      <c r="D153" s="237" t="e">
        <f>'_Emissões Agrícolas'!$H$58</f>
        <v>#DIV/0!</v>
      </c>
      <c r="E153" s="237" t="e">
        <f t="shared" ref="E153:E154" si="20">D153*$E$94</f>
        <v>#DIV/0!</v>
      </c>
      <c r="F153" s="238" t="e">
        <f>E153*1000*'Dados auxiliares'!$D$9</f>
        <v>#DIV/0!</v>
      </c>
      <c r="G153" s="590"/>
      <c r="H153" s="294" t="e">
        <f t="shared" si="18"/>
        <v>#DIV/0!</v>
      </c>
      <c r="I153" s="294" t="e">
        <f t="shared" si="19"/>
        <v>#DIV/0!</v>
      </c>
    </row>
    <row r="154" spans="2:9" s="5" customFormat="1" ht="18" x14ac:dyDescent="0.25">
      <c r="B154" s="273" t="s">
        <v>569</v>
      </c>
      <c r="C154" s="273" t="s">
        <v>1</v>
      </c>
      <c r="D154" s="237" t="e">
        <f>'_Emissões Agrícolas'!$H$62</f>
        <v>#DIV/0!</v>
      </c>
      <c r="E154" s="237" t="e">
        <f t="shared" si="20"/>
        <v>#DIV/0!</v>
      </c>
      <c r="F154" s="238" t="e">
        <f>E154*1000*'Dados auxiliares'!$D$9</f>
        <v>#DIV/0!</v>
      </c>
      <c r="G154" s="590"/>
      <c r="H154" s="294" t="e">
        <f t="shared" si="18"/>
        <v>#DIV/0!</v>
      </c>
      <c r="I154" s="294" t="e">
        <f t="shared" si="19"/>
        <v>#DIV/0!</v>
      </c>
    </row>
    <row r="155" spans="2:9" s="5" customFormat="1" ht="18" x14ac:dyDescent="0.25">
      <c r="B155" s="273" t="s">
        <v>438</v>
      </c>
      <c r="C155" s="273" t="s">
        <v>1</v>
      </c>
      <c r="D155" s="237"/>
      <c r="E155" s="237">
        <f>E99*'_Emissões Agrícolas'!$E$79+E100*'_Emissões Agrícolas'!$E$80</f>
        <v>0</v>
      </c>
      <c r="F155" s="238">
        <f>E155*1000</f>
        <v>0</v>
      </c>
      <c r="G155" s="590"/>
      <c r="H155" s="294" t="e">
        <f t="shared" si="18"/>
        <v>#DIV/0!</v>
      </c>
      <c r="I155" s="294" t="e">
        <f t="shared" si="19"/>
        <v>#DIV/0!</v>
      </c>
    </row>
    <row r="156" spans="2:9" s="5" customFormat="1" ht="18" x14ac:dyDescent="0.25">
      <c r="B156" s="273" t="s">
        <v>439</v>
      </c>
      <c r="C156" s="273" t="s">
        <v>1</v>
      </c>
      <c r="D156" s="237"/>
      <c r="E156" s="237">
        <f>E102*'_Emissões Agrícolas'!$E$81</f>
        <v>0</v>
      </c>
      <c r="F156" s="238">
        <f>E156*1000</f>
        <v>0</v>
      </c>
      <c r="G156" s="590"/>
      <c r="H156" s="294" t="e">
        <f t="shared" si="18"/>
        <v>#DIV/0!</v>
      </c>
      <c r="I156" s="294" t="e">
        <f t="shared" si="19"/>
        <v>#DIV/0!</v>
      </c>
    </row>
    <row r="157" spans="2:9" s="5" customFormat="1" x14ac:dyDescent="0.25">
      <c r="B157" s="273" t="s">
        <v>437</v>
      </c>
      <c r="C157" s="273" t="s">
        <v>1</v>
      </c>
      <c r="D157" s="237"/>
      <c r="E157" s="237">
        <f>E140*'FE''s queima combustíveis'!$I$64/1000</f>
        <v>0</v>
      </c>
      <c r="F157" s="238">
        <f>E157*1000</f>
        <v>0</v>
      </c>
      <c r="G157" s="590"/>
      <c r="H157" s="294" t="e">
        <f t="shared" si="18"/>
        <v>#DIV/0!</v>
      </c>
      <c r="I157" s="294" t="e">
        <f t="shared" si="19"/>
        <v>#DIV/0!</v>
      </c>
    </row>
    <row r="158" spans="2:9" s="5" customFormat="1" x14ac:dyDescent="0.25">
      <c r="B158" s="273" t="s">
        <v>443</v>
      </c>
      <c r="C158" s="273" t="s">
        <v>1</v>
      </c>
      <c r="D158" s="237"/>
      <c r="E158" s="237">
        <f>E141*'FE''s queima combustíveis'!$I$65/1000</f>
        <v>0</v>
      </c>
      <c r="F158" s="238">
        <f t="shared" ref="F158:F162" si="21">E158*1000</f>
        <v>0</v>
      </c>
      <c r="G158" s="590"/>
      <c r="H158" s="294" t="e">
        <f t="shared" si="18"/>
        <v>#DIV/0!</v>
      </c>
      <c r="I158" s="294" t="e">
        <f t="shared" si="19"/>
        <v>#DIV/0!</v>
      </c>
    </row>
    <row r="159" spans="2:9" s="5" customFormat="1" x14ac:dyDescent="0.25">
      <c r="B159" s="273" t="s">
        <v>492</v>
      </c>
      <c r="C159" s="273" t="s">
        <v>1</v>
      </c>
      <c r="D159" s="237"/>
      <c r="E159" s="237">
        <f>E142*'FE''s queima combustíveis'!$I$9/1000</f>
        <v>0</v>
      </c>
      <c r="F159" s="238">
        <f t="shared" si="21"/>
        <v>0</v>
      </c>
      <c r="G159" s="590"/>
      <c r="H159" s="294" t="e">
        <f t="shared" si="18"/>
        <v>#DIV/0!</v>
      </c>
      <c r="I159" s="294" t="e">
        <f t="shared" si="19"/>
        <v>#DIV/0!</v>
      </c>
    </row>
    <row r="160" spans="2:9" s="5" customFormat="1" x14ac:dyDescent="0.25">
      <c r="B160" s="273" t="s">
        <v>493</v>
      </c>
      <c r="C160" s="273" t="s">
        <v>1</v>
      </c>
      <c r="D160" s="237"/>
      <c r="E160" s="237">
        <f>E143*'FE''s queima combustíveis'!$I$7/1000</f>
        <v>0</v>
      </c>
      <c r="F160" s="238">
        <f t="shared" si="21"/>
        <v>0</v>
      </c>
      <c r="G160" s="590"/>
      <c r="H160" s="294" t="e">
        <f t="shared" si="18"/>
        <v>#DIV/0!</v>
      </c>
      <c r="I160" s="294" t="e">
        <f t="shared" si="19"/>
        <v>#DIV/0!</v>
      </c>
    </row>
    <row r="161" spans="2:9" s="5" customFormat="1" x14ac:dyDescent="0.25">
      <c r="B161" s="273" t="s">
        <v>494</v>
      </c>
      <c r="C161" s="273" t="s">
        <v>1</v>
      </c>
      <c r="D161" s="237"/>
      <c r="E161" s="237">
        <f>E144*'FE''s queima combustíveis'!$I$8/1000</f>
        <v>0</v>
      </c>
      <c r="F161" s="238">
        <f t="shared" si="21"/>
        <v>0</v>
      </c>
      <c r="G161" s="590"/>
      <c r="H161" s="294" t="e">
        <f t="shared" si="18"/>
        <v>#DIV/0!</v>
      </c>
      <c r="I161" s="294" t="e">
        <f t="shared" si="19"/>
        <v>#DIV/0!</v>
      </c>
    </row>
    <row r="162" spans="2:9" s="5" customFormat="1" x14ac:dyDescent="0.25">
      <c r="B162" s="273" t="s">
        <v>444</v>
      </c>
      <c r="C162" s="273" t="s">
        <v>1</v>
      </c>
      <c r="D162" s="237"/>
      <c r="E162" s="237">
        <f>(E145+'E1G Flex'!D140)*'FE''s queima combustíveis'!$I$66/1000</f>
        <v>0</v>
      </c>
      <c r="F162" s="238">
        <f t="shared" si="21"/>
        <v>0</v>
      </c>
      <c r="G162" s="590"/>
      <c r="H162" s="294" t="e">
        <f t="shared" si="18"/>
        <v>#DIV/0!</v>
      </c>
      <c r="I162" s="294" t="e">
        <f t="shared" si="19"/>
        <v>#DIV/0!</v>
      </c>
    </row>
    <row r="163" spans="2:9" s="5" customFormat="1" ht="6" customHeight="1" x14ac:dyDescent="0.25">
      <c r="B163" s="386"/>
      <c r="D163" s="7"/>
      <c r="E163" s="48"/>
      <c r="F163" s="49"/>
      <c r="G163" s="49"/>
      <c r="H163" s="10"/>
      <c r="I163" s="383"/>
    </row>
    <row r="164" spans="2:9" s="5" customFormat="1" ht="18" x14ac:dyDescent="0.25">
      <c r="B164" s="276" t="s">
        <v>54</v>
      </c>
      <c r="C164" s="274" t="s">
        <v>614</v>
      </c>
      <c r="D164" s="274"/>
      <c r="E164" s="275"/>
      <c r="F164" s="290" t="e">
        <f>SUM(F152:F162)</f>
        <v>#DIV/0!</v>
      </c>
      <c r="G164" s="597"/>
      <c r="H164" s="290" t="e">
        <f t="shared" ref="H164:H165" si="22">(F164/$E$171)*$F$171*$D$183</f>
        <v>#DIV/0!</v>
      </c>
      <c r="I164" s="290" t="e">
        <f t="shared" ref="I164:I166" si="23">(F164/$E$172)*$F$172*$D$183</f>
        <v>#DIV/0!</v>
      </c>
    </row>
    <row r="165" spans="2:9" s="5" customFormat="1" ht="18" x14ac:dyDescent="0.25">
      <c r="B165" s="276" t="s">
        <v>61</v>
      </c>
      <c r="C165" s="274" t="s">
        <v>614</v>
      </c>
      <c r="D165" s="274"/>
      <c r="E165" s="275"/>
      <c r="F165" s="290" t="e">
        <f>SUM(F96:F120,F139:F150)</f>
        <v>#DIV/0!</v>
      </c>
      <c r="G165" s="597"/>
      <c r="H165" s="290" t="e">
        <f t="shared" si="22"/>
        <v>#DIV/0!</v>
      </c>
      <c r="I165" s="290" t="e">
        <f t="shared" si="23"/>
        <v>#DIV/0!</v>
      </c>
    </row>
    <row r="166" spans="2:9" s="5" customFormat="1" ht="18" x14ac:dyDescent="0.25">
      <c r="B166" s="276" t="s">
        <v>55</v>
      </c>
      <c r="C166" s="274" t="s">
        <v>614</v>
      </c>
      <c r="D166" s="274"/>
      <c r="E166" s="275"/>
      <c r="F166" s="290" t="e">
        <f>F164+F165</f>
        <v>#DIV/0!</v>
      </c>
      <c r="G166" s="597"/>
      <c r="H166" s="290" t="e">
        <f>(F166/$E$171)*$F$171*$D$183</f>
        <v>#DIV/0!</v>
      </c>
      <c r="I166" s="290" t="e">
        <f t="shared" si="23"/>
        <v>#DIV/0!</v>
      </c>
    </row>
    <row r="167" spans="2:9" x14ac:dyDescent="0.25">
      <c r="B167" s="230"/>
      <c r="C167" s="255"/>
      <c r="D167" s="255"/>
      <c r="E167" s="255"/>
      <c r="F167" s="255"/>
      <c r="G167" s="255"/>
      <c r="H167" s="256"/>
      <c r="I167" s="257"/>
    </row>
    <row r="168" spans="2:9" x14ac:dyDescent="0.25">
      <c r="B168" s="230"/>
      <c r="C168" s="255"/>
      <c r="D168" s="255"/>
      <c r="E168" s="255"/>
      <c r="F168" s="255"/>
      <c r="G168" s="255"/>
      <c r="H168" s="256"/>
      <c r="I168" s="257"/>
    </row>
    <row r="169" spans="2:9" ht="18.75" x14ac:dyDescent="0.25">
      <c r="B169" s="737" t="s">
        <v>502</v>
      </c>
      <c r="C169" s="737"/>
      <c r="D169" s="737"/>
      <c r="E169" s="737"/>
      <c r="F169" s="737"/>
      <c r="G169" s="453"/>
      <c r="H169" s="740" t="s">
        <v>936</v>
      </c>
      <c r="I169" s="740" t="s">
        <v>937</v>
      </c>
    </row>
    <row r="170" spans="2:9" x14ac:dyDescent="0.25">
      <c r="B170" s="279" t="s">
        <v>495</v>
      </c>
      <c r="C170" s="381" t="s">
        <v>0</v>
      </c>
      <c r="D170" s="710" t="s">
        <v>56</v>
      </c>
      <c r="E170" s="381" t="s">
        <v>29</v>
      </c>
      <c r="F170" s="381" t="s">
        <v>330</v>
      </c>
      <c r="G170" s="583"/>
      <c r="H170" s="740"/>
      <c r="I170" s="740"/>
    </row>
    <row r="171" spans="2:9" s="71" customFormat="1" x14ac:dyDescent="0.25">
      <c r="B171" s="273" t="s">
        <v>45</v>
      </c>
      <c r="C171" s="273" t="s">
        <v>1</v>
      </c>
      <c r="D171" s="711" t="e">
        <f>'E1G Flex'!D155*'Dados auxiliares'!$D$15/'E1G Flex'!$D$151</f>
        <v>#DIV/0!</v>
      </c>
      <c r="E171" s="237" t="e">
        <f>D171*'Dados auxiliares'!$F$15</f>
        <v>#DIV/0!</v>
      </c>
      <c r="F171" s="258" t="e">
        <f t="shared" ref="F171:F179" si="24">E171/SUM($E$171:$E$180)</f>
        <v>#DIV/0!</v>
      </c>
      <c r="G171" s="585"/>
      <c r="H171" s="740"/>
      <c r="I171" s="740"/>
    </row>
    <row r="172" spans="2:9" x14ac:dyDescent="0.25">
      <c r="B172" s="273" t="s">
        <v>46</v>
      </c>
      <c r="C172" s="273" t="s">
        <v>1</v>
      </c>
      <c r="D172" s="711" t="e">
        <f>'E1G Flex'!D156*'Dados auxiliares'!$D$16/'E1G Flex'!$D$151</f>
        <v>#DIV/0!</v>
      </c>
      <c r="E172" s="237" t="e">
        <f>D172*'Dados auxiliares'!$F$16</f>
        <v>#DIV/0!</v>
      </c>
      <c r="F172" s="258" t="e">
        <f t="shared" si="24"/>
        <v>#DIV/0!</v>
      </c>
      <c r="G172" s="585"/>
      <c r="H172" s="740"/>
      <c r="I172" s="740"/>
    </row>
    <row r="173" spans="2:9" x14ac:dyDescent="0.25">
      <c r="B173" s="273" t="s">
        <v>136</v>
      </c>
      <c r="C173" s="273" t="s">
        <v>1</v>
      </c>
      <c r="D173" s="711" t="e">
        <f>'E1G Flex'!D157/'E1G Flex'!$D$151</f>
        <v>#DIV/0!</v>
      </c>
      <c r="E173" s="237" t="e">
        <f>D173*'Dados auxiliares'!D36</f>
        <v>#DIV/0!</v>
      </c>
      <c r="F173" s="258" t="e">
        <f t="shared" si="24"/>
        <v>#DIV/0!</v>
      </c>
      <c r="G173" s="585"/>
      <c r="H173" s="740"/>
      <c r="I173" s="740"/>
    </row>
    <row r="174" spans="2:9" x14ac:dyDescent="0.25">
      <c r="B174" s="273" t="s">
        <v>496</v>
      </c>
      <c r="C174" s="273" t="s">
        <v>57</v>
      </c>
      <c r="D174" s="711" t="e">
        <f>'E1G Flex'!D158/'E1G Flex'!$D$151</f>
        <v>#DIV/0!</v>
      </c>
      <c r="E174" s="237" t="e">
        <f>CONVERT(D174,"kWh","MJ")</f>
        <v>#DIV/0!</v>
      </c>
      <c r="F174" s="258" t="e">
        <f t="shared" si="24"/>
        <v>#DIV/0!</v>
      </c>
      <c r="G174" s="585"/>
      <c r="H174" s="740"/>
      <c r="I174" s="740"/>
    </row>
    <row r="175" spans="2:9" x14ac:dyDescent="0.25">
      <c r="B175" s="273" t="s">
        <v>64</v>
      </c>
      <c r="C175" s="273" t="s">
        <v>1</v>
      </c>
      <c r="D175" s="712" t="e">
        <f>'E1G Flex'!D160*(1-'E1G Flex'!G160)/'E1G Flex'!$D$151</f>
        <v>#DIV/0!</v>
      </c>
      <c r="E175" s="294" t="e">
        <f>D175*'Dados auxiliares'!$D$38</f>
        <v>#DIV/0!</v>
      </c>
      <c r="F175" s="258" t="e">
        <f t="shared" si="24"/>
        <v>#DIV/0!</v>
      </c>
      <c r="G175" s="585"/>
      <c r="H175" s="740"/>
      <c r="I175" s="740"/>
    </row>
    <row r="176" spans="2:9" x14ac:dyDescent="0.25">
      <c r="B176" s="273" t="s">
        <v>304</v>
      </c>
      <c r="C176" s="273" t="s">
        <v>1</v>
      </c>
      <c r="D176" s="712" t="e">
        <f>'E1G Flex'!D159*(1-'E1G Flex'!G159)/'E1G Flex'!$D$151</f>
        <v>#DIV/0!</v>
      </c>
      <c r="E176" s="294" t="e">
        <f>D176*'Dados auxiliares'!$D$37</f>
        <v>#DIV/0!</v>
      </c>
      <c r="F176" s="258" t="e">
        <f t="shared" si="24"/>
        <v>#DIV/0!</v>
      </c>
      <c r="G176" s="585"/>
      <c r="H176" s="740"/>
      <c r="I176" s="740"/>
    </row>
    <row r="177" spans="1:9" x14ac:dyDescent="0.25">
      <c r="B177" s="273" t="s">
        <v>65</v>
      </c>
      <c r="C177" s="273" t="s">
        <v>1</v>
      </c>
      <c r="D177" s="712" t="e">
        <f>'E1G Flex'!D161*(1-'E1G Flex'!G161)/'E1G Flex'!$D$151</f>
        <v>#DIV/0!</v>
      </c>
      <c r="E177" s="294" t="e">
        <f>D177*'Dados auxiliares'!$D$39</f>
        <v>#DIV/0!</v>
      </c>
      <c r="F177" s="258" t="e">
        <f t="shared" si="24"/>
        <v>#DIV/0!</v>
      </c>
      <c r="G177" s="585"/>
      <c r="H177" s="740"/>
      <c r="I177" s="740"/>
    </row>
    <row r="178" spans="1:9" x14ac:dyDescent="0.25">
      <c r="B178" s="273" t="s">
        <v>66</v>
      </c>
      <c r="C178" s="273" t="s">
        <v>1</v>
      </c>
      <c r="D178" s="712" t="e">
        <f>'E1G Flex'!D162*(1-'E1G Flex'!G162)/'E1G Flex'!$D$151</f>
        <v>#DIV/0!</v>
      </c>
      <c r="E178" s="294" t="e">
        <f>D178*'Dados auxiliares'!$D$40</f>
        <v>#DIV/0!</v>
      </c>
      <c r="F178" s="258" t="e">
        <f t="shared" si="24"/>
        <v>#DIV/0!</v>
      </c>
      <c r="G178" s="585"/>
      <c r="H178" s="740"/>
      <c r="I178" s="740"/>
    </row>
    <row r="179" spans="1:9" x14ac:dyDescent="0.25">
      <c r="B179" s="273" t="s">
        <v>319</v>
      </c>
      <c r="C179" s="273" t="s">
        <v>1</v>
      </c>
      <c r="D179" s="712" t="e">
        <f>'E1G Flex'!D163/'E1G Flex'!$D$151</f>
        <v>#DIV/0!</v>
      </c>
      <c r="E179" s="294" t="e">
        <f>D179*'Dados auxiliares'!$D$41</f>
        <v>#DIV/0!</v>
      </c>
      <c r="F179" s="258" t="e">
        <f t="shared" si="24"/>
        <v>#DIV/0!</v>
      </c>
      <c r="G179" s="585"/>
      <c r="H179" s="740"/>
      <c r="I179" s="740"/>
    </row>
    <row r="180" spans="1:9" ht="18" x14ac:dyDescent="0.25">
      <c r="B180" s="273" t="s">
        <v>250</v>
      </c>
      <c r="C180" s="273" t="s">
        <v>505</v>
      </c>
      <c r="D180" s="711" t="e">
        <f>'E1G Flex'!D164/'E1G Flex'!$D$151</f>
        <v>#DIV/0!</v>
      </c>
      <c r="E180" s="259" t="s">
        <v>5</v>
      </c>
      <c r="F180" s="259" t="s">
        <v>5</v>
      </c>
      <c r="G180" s="478" t="s">
        <v>497</v>
      </c>
      <c r="H180" s="740"/>
      <c r="I180" s="740"/>
    </row>
    <row r="181" spans="1:9" ht="18" x14ac:dyDescent="0.25">
      <c r="B181" s="281" t="s">
        <v>58</v>
      </c>
      <c r="C181" s="381" t="s">
        <v>0</v>
      </c>
      <c r="D181" s="381" t="s">
        <v>56</v>
      </c>
      <c r="E181" s="282"/>
      <c r="F181" s="283" t="s">
        <v>508</v>
      </c>
      <c r="G181" s="272"/>
      <c r="H181" s="283" t="s">
        <v>535</v>
      </c>
      <c r="I181" s="283" t="s">
        <v>535</v>
      </c>
    </row>
    <row r="182" spans="1:9" x14ac:dyDescent="0.25">
      <c r="B182" s="273" t="s">
        <v>19</v>
      </c>
      <c r="C182" s="273" t="s">
        <v>138</v>
      </c>
      <c r="D182" s="308">
        <v>1</v>
      </c>
      <c r="E182" s="259"/>
      <c r="F182" s="294" t="e">
        <f>D182*F87</f>
        <v>#DIV/0!</v>
      </c>
      <c r="G182" s="595"/>
      <c r="H182" s="294" t="e">
        <f>(F182/$E$171)*$F$171</f>
        <v>#DIV/0!</v>
      </c>
      <c r="I182" s="294" t="e">
        <f t="shared" ref="I182:I210" si="25">(F182/$E$172)*$F$172</f>
        <v>#DIV/0!</v>
      </c>
    </row>
    <row r="183" spans="1:9" x14ac:dyDescent="0.25">
      <c r="B183" s="273" t="s">
        <v>629</v>
      </c>
      <c r="C183" s="273" t="s">
        <v>138</v>
      </c>
      <c r="D183" s="301" t="e">
        <f>'E1G Flex'!D153/'E1G Flex'!D151</f>
        <v>#DIV/0!</v>
      </c>
      <c r="E183" s="259"/>
      <c r="F183" s="294" t="e">
        <f>D183*F166</f>
        <v>#DIV/0!</v>
      </c>
      <c r="G183" s="595"/>
      <c r="H183" s="294" t="e">
        <f>(F183/$E$171)*$F$171</f>
        <v>#DIV/0!</v>
      </c>
      <c r="I183" s="294" t="e">
        <f t="shared" si="25"/>
        <v>#DIV/0!</v>
      </c>
    </row>
    <row r="184" spans="1:9" x14ac:dyDescent="0.25">
      <c r="B184" s="273" t="s">
        <v>630</v>
      </c>
      <c r="C184" s="273" t="s">
        <v>47</v>
      </c>
      <c r="D184" s="278" t="e">
        <f>D183*'E1G Flex'!D154</f>
        <v>#DIV/0!</v>
      </c>
      <c r="E184" s="259"/>
      <c r="F184" s="278" t="e">
        <f>D184*'Dados auxiliares'!$H$131</f>
        <v>#DIV/0!</v>
      </c>
      <c r="G184" s="598"/>
      <c r="H184" s="294" t="e">
        <f t="shared" ref="H184:H240" si="26">(F184/$E$171)*$F$171</f>
        <v>#DIV/0!</v>
      </c>
      <c r="I184" s="294" t="e">
        <f t="shared" si="25"/>
        <v>#DIV/0!</v>
      </c>
    </row>
    <row r="185" spans="1:9" x14ac:dyDescent="0.25">
      <c r="A185" s="263"/>
      <c r="B185" s="273" t="s">
        <v>20</v>
      </c>
      <c r="C185" s="273" t="s">
        <v>1</v>
      </c>
      <c r="D185" s="277">
        <v>1500</v>
      </c>
      <c r="E185" s="259"/>
      <c r="F185" s="278">
        <f>D185*'Dados auxiliares'!$H$83</f>
        <v>13.202358602448482</v>
      </c>
      <c r="G185" s="598"/>
      <c r="H185" s="294" t="e">
        <f t="shared" si="26"/>
        <v>#DIV/0!</v>
      </c>
      <c r="I185" s="294" t="e">
        <f t="shared" si="25"/>
        <v>#DIV/0!</v>
      </c>
    </row>
    <row r="186" spans="1:9" x14ac:dyDescent="0.25">
      <c r="A186" s="263"/>
      <c r="B186" s="273" t="s">
        <v>21</v>
      </c>
      <c r="C186" s="273" t="s">
        <v>1</v>
      </c>
      <c r="D186" s="277">
        <v>0.82</v>
      </c>
      <c r="E186" s="259"/>
      <c r="F186" s="278">
        <f>D186*'Dados auxiliares'!$H$84</f>
        <v>788.62446998560051</v>
      </c>
      <c r="G186" s="598"/>
      <c r="H186" s="294" t="e">
        <f t="shared" si="26"/>
        <v>#DIV/0!</v>
      </c>
      <c r="I186" s="294" t="e">
        <f t="shared" si="25"/>
        <v>#DIV/0!</v>
      </c>
    </row>
    <row r="187" spans="1:9" x14ac:dyDescent="0.25">
      <c r="A187" s="263"/>
      <c r="B187" s="273" t="s">
        <v>22</v>
      </c>
      <c r="C187" s="273" t="s">
        <v>1</v>
      </c>
      <c r="D187" s="277">
        <v>0.26500000000000001</v>
      </c>
      <c r="E187" s="259"/>
      <c r="F187" s="278">
        <f>D187*'Dados auxiliares'!$H$88</f>
        <v>28.980362820546588</v>
      </c>
      <c r="G187" s="598"/>
      <c r="H187" s="294" t="e">
        <f t="shared" si="26"/>
        <v>#DIV/0!</v>
      </c>
      <c r="I187" s="294" t="e">
        <f t="shared" si="25"/>
        <v>#DIV/0!</v>
      </c>
    </row>
    <row r="188" spans="1:9" x14ac:dyDescent="0.25">
      <c r="A188" s="263"/>
      <c r="B188" s="273" t="s">
        <v>23</v>
      </c>
      <c r="C188" s="273" t="s">
        <v>1</v>
      </c>
      <c r="D188" s="277">
        <f>176.5/1000</f>
        <v>0.17649999999999999</v>
      </c>
      <c r="E188" s="259"/>
      <c r="F188" s="278">
        <f>D188*'Dados auxiliares'!$H$89</f>
        <v>267.03160716266467</v>
      </c>
      <c r="G188" s="598"/>
      <c r="H188" s="294" t="e">
        <f t="shared" si="26"/>
        <v>#DIV/0!</v>
      </c>
      <c r="I188" s="294" t="e">
        <f t="shared" si="25"/>
        <v>#DIV/0!</v>
      </c>
    </row>
    <row r="189" spans="1:9" x14ac:dyDescent="0.25">
      <c r="A189" s="263"/>
      <c r="B189" s="273" t="s">
        <v>178</v>
      </c>
      <c r="C189" s="273" t="s">
        <v>1</v>
      </c>
      <c r="D189" s="292">
        <f>2.555/1000</f>
        <v>2.555E-3</v>
      </c>
      <c r="E189" s="259"/>
      <c r="F189" s="278">
        <f>D189*'Dados auxiliares'!$H$91</f>
        <v>5.495541825757118</v>
      </c>
      <c r="G189" s="598"/>
      <c r="H189" s="294" t="e">
        <f t="shared" si="26"/>
        <v>#DIV/0!</v>
      </c>
      <c r="I189" s="294" t="e">
        <f t="shared" si="25"/>
        <v>#DIV/0!</v>
      </c>
    </row>
    <row r="190" spans="1:9" x14ac:dyDescent="0.25">
      <c r="A190" s="263"/>
      <c r="B190" s="273" t="s">
        <v>25</v>
      </c>
      <c r="C190" s="273" t="s">
        <v>1</v>
      </c>
      <c r="D190" s="293">
        <f>0.297/1000</f>
        <v>2.9700000000000001E-4</v>
      </c>
      <c r="E190" s="259"/>
      <c r="F190" s="278">
        <f>D190*'Dados auxiliares'!$H$92</f>
        <v>0.63881640792558292</v>
      </c>
      <c r="G190" s="598"/>
      <c r="H190" s="294" t="e">
        <f t="shared" si="26"/>
        <v>#DIV/0!</v>
      </c>
      <c r="I190" s="294" t="e">
        <f t="shared" si="25"/>
        <v>#DIV/0!</v>
      </c>
    </row>
    <row r="191" spans="1:9" x14ac:dyDescent="0.25">
      <c r="A191" s="263"/>
      <c r="B191" s="273" t="s">
        <v>26</v>
      </c>
      <c r="C191" s="273" t="s">
        <v>1</v>
      </c>
      <c r="D191" s="292">
        <f>13/1000</f>
        <v>1.2999999999999999E-2</v>
      </c>
      <c r="E191" s="259"/>
      <c r="F191" s="278">
        <f>D191*'Dados auxiliares'!$H$93</f>
        <v>14.708242207038198</v>
      </c>
      <c r="G191" s="598"/>
      <c r="H191" s="294" t="e">
        <f t="shared" si="26"/>
        <v>#DIV/0!</v>
      </c>
      <c r="I191" s="294" t="e">
        <f t="shared" si="25"/>
        <v>#DIV/0!</v>
      </c>
    </row>
    <row r="192" spans="1:9" x14ac:dyDescent="0.25">
      <c r="A192" s="263"/>
      <c r="B192" s="273" t="s">
        <v>27</v>
      </c>
      <c r="C192" s="273" t="s">
        <v>1</v>
      </c>
      <c r="D192" s="292" t="e">
        <f>(D171*0.03)/67.2</f>
        <v>#DIV/0!</v>
      </c>
      <c r="E192" s="259"/>
      <c r="F192" s="278" t="e">
        <f>D192*'Dados auxiliares'!$H$94</f>
        <v>#DIV/0!</v>
      </c>
      <c r="G192" s="598"/>
      <c r="H192" s="294" t="e">
        <f t="shared" si="26"/>
        <v>#DIV/0!</v>
      </c>
      <c r="I192" s="294" t="e">
        <f t="shared" si="25"/>
        <v>#DIV/0!</v>
      </c>
    </row>
    <row r="193" spans="1:9" x14ac:dyDescent="0.25">
      <c r="A193" s="263"/>
      <c r="B193" s="273" t="s">
        <v>305</v>
      </c>
      <c r="C193" s="273" t="s">
        <v>1</v>
      </c>
      <c r="D193" s="277" t="e">
        <f>(0.0282467716666667/0.131380333333333)*D183</f>
        <v>#DIV/0!</v>
      </c>
      <c r="E193" s="259"/>
      <c r="F193" s="278" t="e">
        <f>D193*'Dados auxiliares'!$H$99</f>
        <v>#DIV/0!</v>
      </c>
      <c r="G193" s="598"/>
      <c r="H193" s="294" t="e">
        <f t="shared" si="26"/>
        <v>#DIV/0!</v>
      </c>
      <c r="I193" s="294" t="e">
        <f t="shared" si="25"/>
        <v>#DIV/0!</v>
      </c>
    </row>
    <row r="194" spans="1:9" x14ac:dyDescent="0.25">
      <c r="A194" s="263"/>
      <c r="B194" s="273" t="s">
        <v>306</v>
      </c>
      <c r="C194" s="273" t="s">
        <v>1</v>
      </c>
      <c r="D194" s="277" t="e">
        <f>(0.0564935433333333/0.131380333333333)/D183</f>
        <v>#DIV/0!</v>
      </c>
      <c r="E194" s="259"/>
      <c r="F194" s="278" t="e">
        <f>D194*'Dados auxiliares'!$H$99</f>
        <v>#DIV/0!</v>
      </c>
      <c r="G194" s="598"/>
      <c r="H194" s="294" t="e">
        <f t="shared" si="26"/>
        <v>#DIV/0!</v>
      </c>
      <c r="I194" s="294" t="e">
        <f t="shared" si="25"/>
        <v>#DIV/0!</v>
      </c>
    </row>
    <row r="195" spans="1:9" x14ac:dyDescent="0.25">
      <c r="A195" s="263"/>
      <c r="B195" s="273" t="s">
        <v>22</v>
      </c>
      <c r="C195" s="273" t="s">
        <v>1</v>
      </c>
      <c r="D195" s="277" t="e">
        <f>(0.01576564/0.131380333333333)*D183</f>
        <v>#DIV/0!</v>
      </c>
      <c r="E195" s="259"/>
      <c r="F195" s="278" t="e">
        <f>D195*'Dados auxiliares'!$H$88</f>
        <v>#DIV/0!</v>
      </c>
      <c r="G195" s="598"/>
      <c r="H195" s="294" t="e">
        <f t="shared" si="26"/>
        <v>#DIV/0!</v>
      </c>
      <c r="I195" s="294" t="e">
        <f t="shared" si="25"/>
        <v>#DIV/0!</v>
      </c>
    </row>
    <row r="196" spans="1:9" x14ac:dyDescent="0.25">
      <c r="A196" s="263"/>
      <c r="B196" s="273" t="s">
        <v>85</v>
      </c>
      <c r="C196" s="273" t="s">
        <v>1</v>
      </c>
      <c r="D196" s="277" t="e">
        <f>(0.02758987/0.131380333333333)*D183</f>
        <v>#DIV/0!</v>
      </c>
      <c r="E196" s="259"/>
      <c r="F196" s="278" t="e">
        <f>D196*'Dados auxiliares'!$H$97</f>
        <v>#DIV/0!</v>
      </c>
      <c r="G196" s="598"/>
      <c r="H196" s="294" t="e">
        <f t="shared" si="26"/>
        <v>#DIV/0!</v>
      </c>
      <c r="I196" s="294" t="e">
        <f t="shared" si="25"/>
        <v>#DIV/0!</v>
      </c>
    </row>
    <row r="197" spans="1:9" x14ac:dyDescent="0.25">
      <c r="A197" s="263"/>
      <c r="B197" s="273" t="s">
        <v>291</v>
      </c>
      <c r="C197" s="273" t="s">
        <v>1</v>
      </c>
      <c r="D197" s="277" t="e">
        <f>(0.024436742/0.131380333333333)*D183</f>
        <v>#DIV/0!</v>
      </c>
      <c r="E197" s="259"/>
      <c r="F197" s="278" t="e">
        <f>D197*'Dados auxiliares'!$H$98</f>
        <v>#DIV/0!</v>
      </c>
      <c r="G197" s="598"/>
      <c r="H197" s="294" t="e">
        <f t="shared" si="26"/>
        <v>#DIV/0!</v>
      </c>
      <c r="I197" s="294" t="e">
        <f t="shared" si="25"/>
        <v>#DIV/0!</v>
      </c>
    </row>
    <row r="198" spans="1:9" x14ac:dyDescent="0.25">
      <c r="A198" s="263"/>
      <c r="B198" s="273" t="s">
        <v>27</v>
      </c>
      <c r="C198" s="273" t="s">
        <v>1</v>
      </c>
      <c r="D198" s="277" t="e">
        <f>(0.00814558066666667/0.131380333333333)*D183</f>
        <v>#DIV/0!</v>
      </c>
      <c r="E198" s="259"/>
      <c r="F198" s="278" t="e">
        <f>D198*'Dados auxiliares'!$H$94</f>
        <v>#DIV/0!</v>
      </c>
      <c r="G198" s="598"/>
      <c r="H198" s="294" t="e">
        <f t="shared" si="26"/>
        <v>#DIV/0!</v>
      </c>
      <c r="I198" s="294" t="e">
        <f t="shared" si="25"/>
        <v>#DIV/0!</v>
      </c>
    </row>
    <row r="199" spans="1:9" ht="18" x14ac:dyDescent="0.25">
      <c r="B199" s="273" t="s">
        <v>391</v>
      </c>
      <c r="C199" s="273" t="s">
        <v>506</v>
      </c>
      <c r="D199" s="607" t="e">
        <f>'E1G Flex'!$D$168*(1-'E1G Flex'!$D$169)/'E1G Flex'!$D$151</f>
        <v>#DIV/0!</v>
      </c>
      <c r="E199" s="259"/>
      <c r="F199" s="277">
        <v>0</v>
      </c>
      <c r="G199" s="544"/>
      <c r="H199" s="294" t="e">
        <f t="shared" si="26"/>
        <v>#DIV/0!</v>
      </c>
      <c r="I199" s="294" t="e">
        <f t="shared" si="25"/>
        <v>#DIV/0!</v>
      </c>
    </row>
    <row r="200" spans="1:9" ht="18" x14ac:dyDescent="0.25">
      <c r="B200" s="273" t="s">
        <v>390</v>
      </c>
      <c r="C200" s="273" t="s">
        <v>506</v>
      </c>
      <c r="D200" s="607" t="e">
        <f>'E1G Flex'!$D$172*(1-'E1G Flex'!$D$173)/'E1G Flex'!$D$151</f>
        <v>#DIV/0!</v>
      </c>
      <c r="E200" s="259"/>
      <c r="F200" s="277">
        <v>0</v>
      </c>
      <c r="G200" s="544"/>
      <c r="H200" s="294" t="e">
        <f t="shared" si="26"/>
        <v>#DIV/0!</v>
      </c>
      <c r="I200" s="294" t="e">
        <f t="shared" si="25"/>
        <v>#DIV/0!</v>
      </c>
    </row>
    <row r="201" spans="1:9" ht="18" x14ac:dyDescent="0.25">
      <c r="B201" s="273" t="s">
        <v>389</v>
      </c>
      <c r="C201" s="273" t="s">
        <v>506</v>
      </c>
      <c r="D201" s="607" t="e">
        <f>'E1G Flex'!$D$176*(1-'E1G Flex'!$D$177)/'E1G Flex'!$D$151</f>
        <v>#DIV/0!</v>
      </c>
      <c r="E201" s="259"/>
      <c r="F201" s="277">
        <v>0</v>
      </c>
      <c r="G201" s="544"/>
      <c r="H201" s="294" t="e">
        <f t="shared" si="26"/>
        <v>#DIV/0!</v>
      </c>
      <c r="I201" s="294" t="e">
        <f t="shared" si="25"/>
        <v>#DIV/0!</v>
      </c>
    </row>
    <row r="202" spans="1:9" x14ac:dyDescent="0.25">
      <c r="B202" s="273" t="s">
        <v>498</v>
      </c>
      <c r="C202" s="273" t="s">
        <v>47</v>
      </c>
      <c r="D202" s="607" t="e">
        <f>((D201/1000)*'E1G Flex'!$D$178)</f>
        <v>#DIV/0!</v>
      </c>
      <c r="E202" s="259"/>
      <c r="F202" s="278" t="e">
        <f>D202*'Dados auxiliares'!$H$131</f>
        <v>#DIV/0!</v>
      </c>
      <c r="G202" s="598"/>
      <c r="H202" s="294" t="e">
        <f t="shared" si="26"/>
        <v>#DIV/0!</v>
      </c>
      <c r="I202" s="294" t="e">
        <f t="shared" si="25"/>
        <v>#DIV/0!</v>
      </c>
    </row>
    <row r="203" spans="1:9" ht="18" x14ac:dyDescent="0.25">
      <c r="B203" s="273" t="s">
        <v>184</v>
      </c>
      <c r="C203" s="273" t="s">
        <v>506</v>
      </c>
      <c r="D203" s="607" t="e">
        <f>'E1G Flex'!$D$181*(1-'E1G Flex'!$D$182)/'E1G Flex'!$D$151</f>
        <v>#DIV/0!</v>
      </c>
      <c r="E203" s="259"/>
      <c r="F203" s="278" t="e">
        <f>D203*'Dados auxiliares'!$H$78</f>
        <v>#DIV/0!</v>
      </c>
      <c r="G203" s="598"/>
      <c r="H203" s="294" t="e">
        <f t="shared" si="26"/>
        <v>#DIV/0!</v>
      </c>
      <c r="I203" s="294" t="e">
        <f t="shared" si="25"/>
        <v>#DIV/0!</v>
      </c>
    </row>
    <row r="204" spans="1:9" x14ac:dyDescent="0.25">
      <c r="B204" s="273" t="s">
        <v>499</v>
      </c>
      <c r="C204" s="273" t="s">
        <v>47</v>
      </c>
      <c r="D204" s="607" t="e">
        <f>((D203/1000)*'E1G Flex'!$D$183)</f>
        <v>#DIV/0!</v>
      </c>
      <c r="E204" s="259"/>
      <c r="F204" s="278" t="e">
        <f>D204*'Dados auxiliares'!$H$131</f>
        <v>#DIV/0!</v>
      </c>
      <c r="G204" s="598"/>
      <c r="H204" s="294" t="e">
        <f t="shared" si="26"/>
        <v>#DIV/0!</v>
      </c>
      <c r="I204" s="294" t="e">
        <f t="shared" si="25"/>
        <v>#DIV/0!</v>
      </c>
    </row>
    <row r="205" spans="1:9" ht="18" x14ac:dyDescent="0.25">
      <c r="B205" s="273" t="s">
        <v>106</v>
      </c>
      <c r="C205" s="273" t="s">
        <v>506</v>
      </c>
      <c r="D205" s="607" t="e">
        <f>'E1G Flex'!$D$186*(1-'E1G Flex'!$D$187)/'E1G Flex'!$D$151</f>
        <v>#DIV/0!</v>
      </c>
      <c r="E205" s="259"/>
      <c r="F205" s="278" t="e">
        <f>D205*'Dados auxiliares'!$H$123</f>
        <v>#DIV/0!</v>
      </c>
      <c r="G205" s="598"/>
      <c r="H205" s="294" t="e">
        <f>(F205/$E$171)*$F$171</f>
        <v>#DIV/0!</v>
      </c>
      <c r="I205" s="294" t="e">
        <f t="shared" si="25"/>
        <v>#DIV/0!</v>
      </c>
    </row>
    <row r="206" spans="1:9" x14ac:dyDescent="0.25">
      <c r="B206" s="273" t="s">
        <v>500</v>
      </c>
      <c r="C206" s="273" t="s">
        <v>47</v>
      </c>
      <c r="D206" s="607" t="e">
        <f>((D205/1000)*'E1G Flex'!$D$188)</f>
        <v>#DIV/0!</v>
      </c>
      <c r="E206" s="259"/>
      <c r="F206" s="278" t="e">
        <f>D206*'Dados auxiliares'!$H$131</f>
        <v>#DIV/0!</v>
      </c>
      <c r="G206" s="598"/>
      <c r="H206" s="294" t="e">
        <f t="shared" si="26"/>
        <v>#DIV/0!</v>
      </c>
      <c r="I206" s="294" t="e">
        <f t="shared" si="25"/>
        <v>#DIV/0!</v>
      </c>
    </row>
    <row r="207" spans="1:9" ht="18" x14ac:dyDescent="0.25">
      <c r="B207" s="273" t="s">
        <v>347</v>
      </c>
      <c r="C207" s="273" t="s">
        <v>506</v>
      </c>
      <c r="D207" s="607" t="e">
        <f>'E1G Flex'!$D$191*(1-'E1G Flex'!$D$192)/'E1G Flex'!$D$151</f>
        <v>#DIV/0!</v>
      </c>
      <c r="E207" s="259"/>
      <c r="F207" s="278" t="e">
        <f>D207*'Dados auxiliares'!$H$124</f>
        <v>#DIV/0!</v>
      </c>
      <c r="G207" s="598"/>
      <c r="H207" s="294" t="e">
        <f t="shared" si="26"/>
        <v>#DIV/0!</v>
      </c>
      <c r="I207" s="294" t="e">
        <f t="shared" si="25"/>
        <v>#DIV/0!</v>
      </c>
    </row>
    <row r="208" spans="1:9" x14ac:dyDescent="0.25">
      <c r="B208" s="273" t="s">
        <v>503</v>
      </c>
      <c r="C208" s="273" t="s">
        <v>47</v>
      </c>
      <c r="D208" s="607" t="e">
        <f>((D207/1000)*'E1G Flex'!$D$193)</f>
        <v>#DIV/0!</v>
      </c>
      <c r="E208" s="259"/>
      <c r="F208" s="278" t="e">
        <f>D208*'Dados auxiliares'!$H$131</f>
        <v>#DIV/0!</v>
      </c>
      <c r="G208" s="598"/>
      <c r="H208" s="294" t="e">
        <f t="shared" si="26"/>
        <v>#DIV/0!</v>
      </c>
      <c r="I208" s="294" t="e">
        <f t="shared" si="25"/>
        <v>#DIV/0!</v>
      </c>
    </row>
    <row r="209" spans="1:9" ht="18" x14ac:dyDescent="0.25">
      <c r="B209" s="273" t="s">
        <v>466</v>
      </c>
      <c r="C209" s="273" t="s">
        <v>506</v>
      </c>
      <c r="D209" s="607" t="e">
        <f>'E1G Flex'!$D$196*(1-'E1G Flex'!$D$197)/'E1G Flex'!$D$151</f>
        <v>#DIV/0!</v>
      </c>
      <c r="E209" s="259"/>
      <c r="F209" s="277">
        <v>0</v>
      </c>
      <c r="G209" s="544"/>
      <c r="H209" s="294" t="e">
        <f t="shared" si="26"/>
        <v>#DIV/0!</v>
      </c>
      <c r="I209" s="294" t="e">
        <f t="shared" si="25"/>
        <v>#DIV/0!</v>
      </c>
    </row>
    <row r="210" spans="1:9" x14ac:dyDescent="0.25">
      <c r="B210" s="273" t="s">
        <v>504</v>
      </c>
      <c r="C210" s="273" t="s">
        <v>47</v>
      </c>
      <c r="D210" s="278" t="e">
        <f>((D209/1000)*'E1G Flex'!$D$198)</f>
        <v>#DIV/0!</v>
      </c>
      <c r="E210" s="259"/>
      <c r="F210" s="278" t="e">
        <f>D210*'Dados auxiliares'!$H$131</f>
        <v>#DIV/0!</v>
      </c>
      <c r="G210" s="598"/>
      <c r="H210" s="294" t="e">
        <f t="shared" si="26"/>
        <v>#DIV/0!</v>
      </c>
      <c r="I210" s="294" t="e">
        <f t="shared" si="25"/>
        <v>#DIV/0!</v>
      </c>
    </row>
    <row r="211" spans="1:9" x14ac:dyDescent="0.25">
      <c r="B211" s="273" t="s">
        <v>851</v>
      </c>
      <c r="C211" s="273" t="s">
        <v>1</v>
      </c>
      <c r="D211" s="278" t="e">
        <f>('E1G Flex'!D200/'E1G Flex'!$D$151)*'Dados auxiliares'!$D$30</f>
        <v>#DIV/0!</v>
      </c>
      <c r="E211" s="259"/>
      <c r="F211" s="278" t="e">
        <f>D211*'Dados auxiliares'!$H$126</f>
        <v>#DIV/0!</v>
      </c>
      <c r="G211" s="598"/>
      <c r="H211" s="294" t="e">
        <f t="shared" ref="H211:H220" si="27">(F211/$E$171)*$F$171</f>
        <v>#DIV/0!</v>
      </c>
      <c r="I211" s="294" t="e">
        <f t="shared" ref="I211:I220" si="28">(F211/$E$172)*$F$172</f>
        <v>#DIV/0!</v>
      </c>
    </row>
    <row r="212" spans="1:9" x14ac:dyDescent="0.25">
      <c r="B212" s="273" t="s">
        <v>923</v>
      </c>
      <c r="C212" s="273" t="s">
        <v>169</v>
      </c>
      <c r="D212" s="278" t="e">
        <f>'E1G Flex'!D204/'E1G Flex'!$D$151</f>
        <v>#DIV/0!</v>
      </c>
      <c r="E212" s="259"/>
      <c r="F212" s="278" t="e">
        <f>D212*'E1G Flex'!G204*'Dados auxiliares'!$H$125</f>
        <v>#DIV/0!</v>
      </c>
      <c r="G212" s="598"/>
      <c r="H212" s="294" t="e">
        <f t="shared" si="27"/>
        <v>#DIV/0!</v>
      </c>
      <c r="I212" s="294" t="e">
        <f t="shared" si="28"/>
        <v>#DIV/0!</v>
      </c>
    </row>
    <row r="213" spans="1:9" x14ac:dyDescent="0.25">
      <c r="B213" s="273" t="s">
        <v>572</v>
      </c>
      <c r="C213" s="273" t="s">
        <v>169</v>
      </c>
      <c r="D213" s="278" t="e">
        <f>'E1G Flex'!D205/'E1G Flex'!$D$151</f>
        <v>#DIV/0!</v>
      </c>
      <c r="E213" s="259"/>
      <c r="F213" s="278" t="e">
        <f>D213*'Dados auxiliares'!$H$115</f>
        <v>#DIV/0!</v>
      </c>
      <c r="G213" s="598"/>
      <c r="H213" s="294" t="e">
        <f t="shared" si="27"/>
        <v>#DIV/0!</v>
      </c>
      <c r="I213" s="294" t="e">
        <f t="shared" si="28"/>
        <v>#DIV/0!</v>
      </c>
    </row>
    <row r="214" spans="1:9" x14ac:dyDescent="0.25">
      <c r="B214" s="273" t="s">
        <v>309</v>
      </c>
      <c r="C214" s="273" t="s">
        <v>1</v>
      </c>
      <c r="D214" s="278" t="e">
        <f>(('E1G Flex'!D206*(1-0.08)+'E1G Flex'!D207*(1-0.1)+'E1G Flex'!D208*(1-'E1G Flex'!G208)+'E1G Flex'!D209*(1-0.2)+'E1G Flex'!D210*(1-0.3)+'E1G Flex'!D211*(1-1))*('Dados auxiliares'!$D$26))/'E1G Flex'!$D$151</f>
        <v>#DIV/0!</v>
      </c>
      <c r="E214" s="259"/>
      <c r="F214" s="278" t="e">
        <f>D214*'Dados auxiliares'!$H$116</f>
        <v>#DIV/0!</v>
      </c>
      <c r="G214" s="598"/>
      <c r="H214" s="294" t="e">
        <f t="shared" si="27"/>
        <v>#DIV/0!</v>
      </c>
      <c r="I214" s="294" t="e">
        <f t="shared" si="28"/>
        <v>#DIV/0!</v>
      </c>
    </row>
    <row r="215" spans="1:9" x14ac:dyDescent="0.25">
      <c r="B215" s="273" t="s">
        <v>187</v>
      </c>
      <c r="C215" s="273" t="s">
        <v>1</v>
      </c>
      <c r="D215" s="278" t="e">
        <f>(('E1G Flex'!D206*(0.08)+'E1G Flex'!D207*(0.1)+'E1G Flex'!D208*('E1G Flex'!G208)+'E1G Flex'!D209*(0.2)+'E1G Flex'!D210*(0.3)+'E1G Flex'!D211*(1))*('Dados auxiliares'!$D$17))/'E1G Flex'!$D$151</f>
        <v>#DIV/0!</v>
      </c>
      <c r="E215" s="259"/>
      <c r="F215" s="278" t="e">
        <f>D215*'Dados auxiliares'!$H$117</f>
        <v>#DIV/0!</v>
      </c>
      <c r="G215" s="598"/>
      <c r="H215" s="294" t="e">
        <f t="shared" si="27"/>
        <v>#DIV/0!</v>
      </c>
      <c r="I215" s="294" t="e">
        <f t="shared" si="28"/>
        <v>#DIV/0!</v>
      </c>
    </row>
    <row r="216" spans="1:9" x14ac:dyDescent="0.25">
      <c r="B216" s="273" t="s">
        <v>376</v>
      </c>
      <c r="C216" s="273" t="s">
        <v>57</v>
      </c>
      <c r="D216" s="278" t="e">
        <f>'E1G Flex'!D212/'E1G Flex'!$D$151</f>
        <v>#DIV/0!</v>
      </c>
      <c r="E216" s="259"/>
      <c r="F216" s="278" t="e">
        <f>D216*'Dados auxiliares'!$H$107</f>
        <v>#DIV/0!</v>
      </c>
      <c r="G216" s="598"/>
      <c r="H216" s="294" t="e">
        <f t="shared" si="27"/>
        <v>#DIV/0!</v>
      </c>
      <c r="I216" s="294" t="e">
        <f t="shared" si="28"/>
        <v>#DIV/0!</v>
      </c>
    </row>
    <row r="217" spans="1:9" x14ac:dyDescent="0.25">
      <c r="B217" s="273" t="s">
        <v>375</v>
      </c>
      <c r="C217" s="273" t="s">
        <v>57</v>
      </c>
      <c r="D217" s="278" t="e">
        <f>'E1G Flex'!D213/'E1G Flex'!$D$151</f>
        <v>#DIV/0!</v>
      </c>
      <c r="E217" s="259"/>
      <c r="F217" s="278" t="e">
        <f>D217*'Dados auxiliares'!$H$108</f>
        <v>#DIV/0!</v>
      </c>
      <c r="G217" s="598"/>
      <c r="H217" s="294" t="e">
        <f t="shared" si="27"/>
        <v>#DIV/0!</v>
      </c>
      <c r="I217" s="294" t="e">
        <f t="shared" si="28"/>
        <v>#DIV/0!</v>
      </c>
    </row>
    <row r="218" spans="1:9" x14ac:dyDescent="0.25">
      <c r="B218" s="273" t="s">
        <v>372</v>
      </c>
      <c r="C218" s="273" t="s">
        <v>57</v>
      </c>
      <c r="D218" s="278" t="e">
        <f>'E1G Flex'!D214/'E1G Flex'!$D$151</f>
        <v>#DIV/0!</v>
      </c>
      <c r="E218" s="259"/>
      <c r="F218" s="278" t="e">
        <f>D218*'Dados auxiliares'!$H$109</f>
        <v>#DIV/0!</v>
      </c>
      <c r="G218" s="598"/>
      <c r="H218" s="294" t="e">
        <f t="shared" si="27"/>
        <v>#DIV/0!</v>
      </c>
      <c r="I218" s="294" t="e">
        <f t="shared" si="28"/>
        <v>#DIV/0!</v>
      </c>
    </row>
    <row r="219" spans="1:9" x14ac:dyDescent="0.25">
      <c r="B219" s="273" t="s">
        <v>373</v>
      </c>
      <c r="C219" s="273" t="s">
        <v>57</v>
      </c>
      <c r="D219" s="278" t="e">
        <f>'E1G Flex'!D215/'E1G Flex'!$D$151</f>
        <v>#DIV/0!</v>
      </c>
      <c r="E219" s="259"/>
      <c r="F219" s="278" t="e">
        <f>D219*'Dados auxiliares'!$H$110</f>
        <v>#DIV/0!</v>
      </c>
      <c r="G219" s="598"/>
      <c r="H219" s="294" t="e">
        <f t="shared" si="27"/>
        <v>#DIV/0!</v>
      </c>
      <c r="I219" s="294" t="e">
        <f t="shared" si="28"/>
        <v>#DIV/0!</v>
      </c>
    </row>
    <row r="220" spans="1:9" x14ac:dyDescent="0.25">
      <c r="B220" s="273" t="s">
        <v>374</v>
      </c>
      <c r="C220" s="273" t="s">
        <v>57</v>
      </c>
      <c r="D220" s="278" t="e">
        <f>'E1G Flex'!D216/'E1G Flex'!$D$151</f>
        <v>#DIV/0!</v>
      </c>
      <c r="E220" s="259"/>
      <c r="F220" s="278" t="e">
        <f>D220*'Dados auxiliares'!$H$111</f>
        <v>#DIV/0!</v>
      </c>
      <c r="G220" s="598"/>
      <c r="H220" s="294" t="e">
        <f t="shared" si="27"/>
        <v>#DIV/0!</v>
      </c>
      <c r="I220" s="294" t="e">
        <f t="shared" si="28"/>
        <v>#DIV/0!</v>
      </c>
    </row>
    <row r="221" spans="1:9" ht="18" x14ac:dyDescent="0.25">
      <c r="A221" s="230"/>
      <c r="B221" s="283" t="s">
        <v>52</v>
      </c>
      <c r="C221" s="381" t="s">
        <v>0</v>
      </c>
      <c r="D221" s="381" t="s">
        <v>56</v>
      </c>
      <c r="E221" s="283"/>
      <c r="F221" s="283" t="s">
        <v>508</v>
      </c>
      <c r="G221" s="272"/>
      <c r="H221" s="283" t="s">
        <v>535</v>
      </c>
      <c r="I221" s="283" t="s">
        <v>535</v>
      </c>
    </row>
    <row r="222" spans="1:9" x14ac:dyDescent="0.25">
      <c r="A222" s="299"/>
      <c r="B222" s="273" t="s">
        <v>521</v>
      </c>
      <c r="C222" s="273" t="s">
        <v>1</v>
      </c>
      <c r="D222" s="278" t="e">
        <f>$D$199*'FE''s queima combustíveis'!$I$36/1000</f>
        <v>#DIV/0!</v>
      </c>
      <c r="E222" s="259"/>
      <c r="F222" s="238" t="e">
        <f>D222*1000</f>
        <v>#DIV/0!</v>
      </c>
      <c r="G222" s="590"/>
      <c r="H222" s="294" t="e">
        <f t="shared" si="26"/>
        <v>#DIV/0!</v>
      </c>
      <c r="I222" s="294" t="e">
        <f t="shared" ref="I222:I236" si="29">(F222/$E$172)*$F$172</f>
        <v>#DIV/0!</v>
      </c>
    </row>
    <row r="223" spans="1:9" x14ac:dyDescent="0.25">
      <c r="A223" s="299"/>
      <c r="B223" s="273" t="s">
        <v>522</v>
      </c>
      <c r="C223" s="273" t="s">
        <v>1</v>
      </c>
      <c r="D223" s="278" t="e">
        <f>$D$200*'FE''s queima combustíveis'!$I$37/1000</f>
        <v>#DIV/0!</v>
      </c>
      <c r="E223" s="259"/>
      <c r="F223" s="238" t="e">
        <f t="shared" ref="F223:F235" si="30">D223*1000</f>
        <v>#DIV/0!</v>
      </c>
      <c r="G223" s="590"/>
      <c r="H223" s="294" t="e">
        <f t="shared" si="26"/>
        <v>#DIV/0!</v>
      </c>
      <c r="I223" s="294" t="e">
        <f t="shared" si="29"/>
        <v>#DIV/0!</v>
      </c>
    </row>
    <row r="224" spans="1:9" x14ac:dyDescent="0.25">
      <c r="A224" s="299"/>
      <c r="B224" s="273" t="s">
        <v>516</v>
      </c>
      <c r="C224" s="273" t="s">
        <v>1</v>
      </c>
      <c r="D224" s="278" t="e">
        <f>$D$201*'FE''s queima combustíveis'!$I$36/1000</f>
        <v>#DIV/0!</v>
      </c>
      <c r="E224" s="259"/>
      <c r="F224" s="238" t="e">
        <f t="shared" si="30"/>
        <v>#DIV/0!</v>
      </c>
      <c r="G224" s="590"/>
      <c r="H224" s="294" t="e">
        <f t="shared" si="26"/>
        <v>#DIV/0!</v>
      </c>
      <c r="I224" s="294" t="e">
        <f t="shared" si="29"/>
        <v>#DIV/0!</v>
      </c>
    </row>
    <row r="225" spans="1:9" x14ac:dyDescent="0.25">
      <c r="A225" s="299"/>
      <c r="B225" s="273" t="s">
        <v>517</v>
      </c>
      <c r="C225" s="273" t="s">
        <v>1</v>
      </c>
      <c r="D225" s="278" t="e">
        <f>$D$203*'FE''s queima combustíveis'!$I$37/1000</f>
        <v>#DIV/0!</v>
      </c>
      <c r="E225" s="259"/>
      <c r="F225" s="238" t="e">
        <f t="shared" si="30"/>
        <v>#DIV/0!</v>
      </c>
      <c r="G225" s="590"/>
      <c r="H225" s="294" t="e">
        <f t="shared" si="26"/>
        <v>#DIV/0!</v>
      </c>
      <c r="I225" s="294" t="e">
        <f t="shared" si="29"/>
        <v>#DIV/0!</v>
      </c>
    </row>
    <row r="226" spans="1:9" x14ac:dyDescent="0.25">
      <c r="A226" s="299"/>
      <c r="B226" s="273" t="s">
        <v>520</v>
      </c>
      <c r="C226" s="273" t="s">
        <v>1</v>
      </c>
      <c r="D226" s="278" t="e">
        <f>$D$205*'FE''s queima combustíveis'!$I$38/1000</f>
        <v>#DIV/0!</v>
      </c>
      <c r="E226" s="259"/>
      <c r="F226" s="238" t="e">
        <f t="shared" si="30"/>
        <v>#DIV/0!</v>
      </c>
      <c r="G226" s="590"/>
      <c r="H226" s="294" t="e">
        <f t="shared" si="26"/>
        <v>#DIV/0!</v>
      </c>
      <c r="I226" s="294" t="e">
        <f t="shared" si="29"/>
        <v>#DIV/0!</v>
      </c>
    </row>
    <row r="227" spans="1:9" x14ac:dyDescent="0.25">
      <c r="A227" s="299"/>
      <c r="B227" s="273" t="s">
        <v>518</v>
      </c>
      <c r="C227" s="273" t="s">
        <v>1</v>
      </c>
      <c r="D227" s="278" t="e">
        <f>$D$207*'FE''s queima combustíveis'!$I$39/1000</f>
        <v>#DIV/0!</v>
      </c>
      <c r="E227" s="259"/>
      <c r="F227" s="238" t="e">
        <f t="shared" si="30"/>
        <v>#DIV/0!</v>
      </c>
      <c r="G227" s="590"/>
      <c r="H227" s="294" t="e">
        <f t="shared" si="26"/>
        <v>#DIV/0!</v>
      </c>
      <c r="I227" s="294" t="e">
        <f t="shared" si="29"/>
        <v>#DIV/0!</v>
      </c>
    </row>
    <row r="228" spans="1:9" x14ac:dyDescent="0.25">
      <c r="A228" s="299"/>
      <c r="B228" s="273" t="s">
        <v>519</v>
      </c>
      <c r="C228" s="273" t="s">
        <v>1</v>
      </c>
      <c r="D228" s="278" t="e">
        <f>$D$209*'FE''s queima combustíveis'!$I$40/1000</f>
        <v>#DIV/0!</v>
      </c>
      <c r="E228" s="259"/>
      <c r="F228" s="238" t="e">
        <f t="shared" si="30"/>
        <v>#DIV/0!</v>
      </c>
      <c r="G228" s="590"/>
      <c r="H228" s="294" t="e">
        <f t="shared" si="26"/>
        <v>#DIV/0!</v>
      </c>
      <c r="I228" s="294" t="e">
        <f t="shared" si="29"/>
        <v>#DIV/0!</v>
      </c>
    </row>
    <row r="229" spans="1:9" x14ac:dyDescent="0.25">
      <c r="A229" s="299"/>
      <c r="B229" s="273" t="s">
        <v>848</v>
      </c>
      <c r="C229" s="273" t="s">
        <v>1</v>
      </c>
      <c r="D229" s="278" t="e">
        <f>D211*'FE''s queima combustíveis'!$I$53/1000</f>
        <v>#DIV/0!</v>
      </c>
      <c r="E229" s="259"/>
      <c r="F229" s="238" t="e">
        <f t="shared" si="30"/>
        <v>#DIV/0!</v>
      </c>
      <c r="G229" s="590"/>
      <c r="H229" s="294" t="e">
        <f t="shared" si="26"/>
        <v>#DIV/0!</v>
      </c>
      <c r="I229" s="294" t="e">
        <f t="shared" si="29"/>
        <v>#DIV/0!</v>
      </c>
    </row>
    <row r="230" spans="1:9" x14ac:dyDescent="0.25">
      <c r="A230" s="299"/>
      <c r="B230" s="273" t="s">
        <v>849</v>
      </c>
      <c r="C230" s="273" t="s">
        <v>1</v>
      </c>
      <c r="D230" s="278" t="e">
        <f>('E1G Flex'!D201/'E1G Flex'!$D$151)*'Dados auxiliares'!$D$16*'FE''s queima combustíveis'!$I$57/1000</f>
        <v>#DIV/0!</v>
      </c>
      <c r="E230" s="259"/>
      <c r="F230" s="238" t="e">
        <f t="shared" si="30"/>
        <v>#DIV/0!</v>
      </c>
      <c r="G230" s="590"/>
      <c r="H230" s="294" t="e">
        <f t="shared" si="26"/>
        <v>#DIV/0!</v>
      </c>
      <c r="I230" s="294" t="e">
        <f t="shared" si="29"/>
        <v>#DIV/0!</v>
      </c>
    </row>
    <row r="231" spans="1:9" x14ac:dyDescent="0.25">
      <c r="A231" s="299"/>
      <c r="B231" s="273" t="s">
        <v>850</v>
      </c>
      <c r="C231" s="273" t="s">
        <v>1</v>
      </c>
      <c r="D231" s="278" t="e">
        <f>('E1G Flex'!D202/'E1G Flex'!$D$151)*'Dados auxiliares'!$D$15*'FE''s queima combustíveis'!$I$55/1000</f>
        <v>#DIV/0!</v>
      </c>
      <c r="E231" s="259"/>
      <c r="F231" s="238" t="e">
        <f t="shared" si="30"/>
        <v>#DIV/0!</v>
      </c>
      <c r="G231" s="590"/>
      <c r="H231" s="294" t="e">
        <f t="shared" si="26"/>
        <v>#DIV/0!</v>
      </c>
      <c r="I231" s="294" t="e">
        <f t="shared" si="29"/>
        <v>#DIV/0!</v>
      </c>
    </row>
    <row r="232" spans="1:9" x14ac:dyDescent="0.25">
      <c r="A232" s="299"/>
      <c r="B232" s="273" t="s">
        <v>437</v>
      </c>
      <c r="C232" s="273" t="s">
        <v>1</v>
      </c>
      <c r="D232" s="278" t="e">
        <f>D214*'FE''s queima combustíveis'!$I$50/1000</f>
        <v>#DIV/0!</v>
      </c>
      <c r="E232" s="259"/>
      <c r="F232" s="238" t="e">
        <f t="shared" si="30"/>
        <v>#DIV/0!</v>
      </c>
      <c r="G232" s="590"/>
      <c r="H232" s="294" t="e">
        <f t="shared" si="26"/>
        <v>#DIV/0!</v>
      </c>
      <c r="I232" s="294" t="e">
        <f t="shared" si="29"/>
        <v>#DIV/0!</v>
      </c>
    </row>
    <row r="233" spans="1:9" x14ac:dyDescent="0.25">
      <c r="A233" s="299"/>
      <c r="B233" s="273" t="s">
        <v>443</v>
      </c>
      <c r="C233" s="273" t="s">
        <v>1</v>
      </c>
      <c r="D233" s="278" t="e">
        <f>D215*'FE''s queima combustíveis'!$I$51/1000</f>
        <v>#DIV/0!</v>
      </c>
      <c r="E233" s="259"/>
      <c r="F233" s="238" t="e">
        <f t="shared" si="30"/>
        <v>#DIV/0!</v>
      </c>
      <c r="G233" s="590"/>
      <c r="H233" s="294" t="e">
        <f t="shared" si="26"/>
        <v>#DIV/0!</v>
      </c>
      <c r="I233" s="294" t="e">
        <f t="shared" si="29"/>
        <v>#DIV/0!</v>
      </c>
    </row>
    <row r="234" spans="1:9" x14ac:dyDescent="0.25">
      <c r="A234" s="299"/>
      <c r="B234" s="273" t="s">
        <v>581</v>
      </c>
      <c r="C234" s="273" t="s">
        <v>1</v>
      </c>
      <c r="D234" s="278" t="e">
        <f>D213*'FE''s queima combustíveis'!$I$46*('Dados auxiliares'!$D$27*1000)/1000</f>
        <v>#DIV/0!</v>
      </c>
      <c r="E234" s="259"/>
      <c r="F234" s="238" t="e">
        <f t="shared" si="30"/>
        <v>#DIV/0!</v>
      </c>
      <c r="G234" s="590"/>
      <c r="H234" s="294" t="e">
        <f t="shared" ref="H234" si="31">(F234/$E$171)*$F$171</f>
        <v>#DIV/0!</v>
      </c>
      <c r="I234" s="294" t="e">
        <f t="shared" ref="I234" si="32">(F234/$E$172)*$F$172</f>
        <v>#DIV/0!</v>
      </c>
    </row>
    <row r="235" spans="1:9" x14ac:dyDescent="0.25">
      <c r="A235" s="299"/>
      <c r="B235" s="273" t="s">
        <v>925</v>
      </c>
      <c r="C235" s="273" t="s">
        <v>1</v>
      </c>
      <c r="D235" s="278" t="e">
        <f>('E1G Flex'!D203*'E1G Flex'!G203/'E1G Flex'!$D$151)*'FE''s queima combustíveis'!$I$41/1000</f>
        <v>#DIV/0!</v>
      </c>
      <c r="E235" s="259"/>
      <c r="F235" s="238" t="e">
        <f t="shared" si="30"/>
        <v>#DIV/0!</v>
      </c>
      <c r="G235" s="590"/>
      <c r="H235" s="294" t="e">
        <f t="shared" si="26"/>
        <v>#DIV/0!</v>
      </c>
      <c r="I235" s="294" t="e">
        <f t="shared" si="29"/>
        <v>#DIV/0!</v>
      </c>
    </row>
    <row r="236" spans="1:9" x14ac:dyDescent="0.25">
      <c r="A236" s="299"/>
      <c r="B236" s="273" t="s">
        <v>926</v>
      </c>
      <c r="C236" s="273" t="s">
        <v>1</v>
      </c>
      <c r="D236" s="278" t="e">
        <f>('E1G Flex'!D204*'E1G Flex'!G204/'E1G Flex'!$D$151)*'FE''s queima combustíveis'!$I$41/1000</f>
        <v>#DIV/0!</v>
      </c>
      <c r="E236" s="259"/>
      <c r="F236" s="238" t="e">
        <f>D236*1000</f>
        <v>#DIV/0!</v>
      </c>
      <c r="G236" s="590"/>
      <c r="H236" s="294" t="e">
        <f t="shared" si="26"/>
        <v>#DIV/0!</v>
      </c>
      <c r="I236" s="294" t="e">
        <f t="shared" si="29"/>
        <v>#DIV/0!</v>
      </c>
    </row>
    <row r="237" spans="1:9" ht="6" customHeight="1" x14ac:dyDescent="0.25">
      <c r="A237" s="268"/>
      <c r="B237" s="163"/>
      <c r="C237" s="163"/>
      <c r="D237" s="260"/>
      <c r="E237" s="269"/>
      <c r="F237" s="270"/>
      <c r="G237" s="599"/>
      <c r="H237" s="260"/>
      <c r="I237" s="265"/>
    </row>
    <row r="238" spans="1:9" ht="18" x14ac:dyDescent="0.25">
      <c r="A238" s="268"/>
      <c r="B238" s="276" t="s">
        <v>54</v>
      </c>
      <c r="C238" s="274" t="s">
        <v>509</v>
      </c>
      <c r="D238" s="241"/>
      <c r="E238" s="275"/>
      <c r="F238" s="290" t="e">
        <f>SUM(F222:F236)</f>
        <v>#DIV/0!</v>
      </c>
      <c r="G238" s="597"/>
      <c r="H238" s="290" t="e">
        <f t="shared" si="26"/>
        <v>#DIV/0!</v>
      </c>
      <c r="I238" s="290" t="e">
        <f t="shared" ref="I238:I240" si="33">(F238/$E$172)*$F$172</f>
        <v>#DIV/0!</v>
      </c>
    </row>
    <row r="239" spans="1:9" ht="18" customHeight="1" x14ac:dyDescent="0.25">
      <c r="A239" s="240"/>
      <c r="B239" s="276" t="s">
        <v>61</v>
      </c>
      <c r="C239" s="274" t="s">
        <v>509</v>
      </c>
      <c r="D239" s="241"/>
      <c r="E239" s="275"/>
      <c r="F239" s="290" t="e">
        <f>SUM(F182:F220)</f>
        <v>#DIV/0!</v>
      </c>
      <c r="G239" s="597"/>
      <c r="H239" s="290" t="e">
        <f t="shared" si="26"/>
        <v>#DIV/0!</v>
      </c>
      <c r="I239" s="290" t="e">
        <f t="shared" si="33"/>
        <v>#DIV/0!</v>
      </c>
    </row>
    <row r="240" spans="1:9" ht="18" x14ac:dyDescent="0.25">
      <c r="B240" s="276" t="s">
        <v>55</v>
      </c>
      <c r="C240" s="274" t="s">
        <v>509</v>
      </c>
      <c r="D240" s="241"/>
      <c r="E240" s="275"/>
      <c r="F240" s="290" t="e">
        <f>F238+F239</f>
        <v>#DIV/0!</v>
      </c>
      <c r="G240" s="597"/>
      <c r="H240" s="290" t="e">
        <f t="shared" si="26"/>
        <v>#DIV/0!</v>
      </c>
      <c r="I240" s="290" t="e">
        <f t="shared" si="33"/>
        <v>#DIV/0!</v>
      </c>
    </row>
    <row r="241" spans="2:10" x14ac:dyDescent="0.25">
      <c r="B241" s="166"/>
      <c r="C241" s="254"/>
      <c r="D241" s="260"/>
      <c r="E241" s="266"/>
      <c r="F241" s="159"/>
      <c r="G241" s="159"/>
      <c r="H241" s="260"/>
      <c r="I241" s="262"/>
    </row>
    <row r="242" spans="2:10" s="71" customFormat="1" x14ac:dyDescent="0.25">
      <c r="B242" s="231"/>
      <c r="C242" s="231"/>
      <c r="D242" s="231"/>
      <c r="E242" s="271"/>
      <c r="F242" s="272"/>
      <c r="G242" s="272"/>
      <c r="H242" s="249"/>
      <c r="I242" s="250"/>
    </row>
    <row r="243" spans="2:10" s="71" customFormat="1" ht="18.75" x14ac:dyDescent="0.25">
      <c r="B243" s="737" t="s">
        <v>524</v>
      </c>
      <c r="C243" s="737"/>
      <c r="D243" s="737"/>
      <c r="E243" s="737"/>
      <c r="F243" s="737"/>
      <c r="G243" s="453"/>
      <c r="H243" s="249"/>
      <c r="I243" s="250"/>
    </row>
    <row r="244" spans="2:10" s="71" customFormat="1" x14ac:dyDescent="0.25">
      <c r="B244" s="573" t="s">
        <v>904</v>
      </c>
      <c r="C244" s="381"/>
      <c r="D244" s="381"/>
      <c r="E244" s="381"/>
      <c r="F244" s="381"/>
      <c r="G244" s="583"/>
      <c r="H244" s="249"/>
      <c r="I244" s="250"/>
    </row>
    <row r="245" spans="2:10" s="71" customFormat="1" x14ac:dyDescent="0.25">
      <c r="B245" s="300" t="s">
        <v>529</v>
      </c>
      <c r="C245" s="300" t="s">
        <v>0</v>
      </c>
      <c r="D245" s="300" t="s">
        <v>45</v>
      </c>
      <c r="E245" s="300" t="s">
        <v>46</v>
      </c>
      <c r="F245" s="300"/>
      <c r="G245" s="600"/>
      <c r="H245"/>
      <c r="I245"/>
      <c r="J245"/>
    </row>
    <row r="246" spans="2:10" s="71" customFormat="1" ht="18" x14ac:dyDescent="0.25">
      <c r="B246" s="273" t="s">
        <v>525</v>
      </c>
      <c r="C246" s="274" t="s">
        <v>526</v>
      </c>
      <c r="D246" s="278" t="e">
        <f>$D$171*'E1G Flex'!$D$222</f>
        <v>#DIV/0!</v>
      </c>
      <c r="E246" s="278" t="e">
        <f>$D$172*'E1G Flex'!$D$228</f>
        <v>#DIV/0!</v>
      </c>
      <c r="F246" s="278"/>
      <c r="G246" s="598"/>
      <c r="H246"/>
      <c r="I246"/>
      <c r="J246"/>
    </row>
    <row r="247" spans="2:10" s="71" customFormat="1" x14ac:dyDescent="0.25">
      <c r="B247" s="273" t="s">
        <v>531</v>
      </c>
      <c r="C247" s="273" t="s">
        <v>258</v>
      </c>
      <c r="D247" s="608">
        <f>'Dados auxiliares'!C156</f>
        <v>700</v>
      </c>
      <c r="E247" s="608">
        <f>'Dados auxiliares'!C156</f>
        <v>700</v>
      </c>
      <c r="F247" s="277"/>
      <c r="G247" s="544"/>
      <c r="H247"/>
      <c r="I247"/>
      <c r="J247"/>
    </row>
    <row r="248" spans="2:10" s="71" customFormat="1" ht="18" x14ac:dyDescent="0.25">
      <c r="B248" s="273" t="s">
        <v>528</v>
      </c>
      <c r="C248" s="274" t="s">
        <v>527</v>
      </c>
      <c r="D248" s="278" t="e">
        <f>D246/1000*D247</f>
        <v>#DIV/0!</v>
      </c>
      <c r="E248" s="278" t="e">
        <f>E246/1000*E247</f>
        <v>#DIV/0!</v>
      </c>
      <c r="F248" s="278"/>
      <c r="G248" s="598"/>
      <c r="H248"/>
      <c r="I248"/>
      <c r="J248"/>
    </row>
    <row r="249" spans="2:10" s="71" customFormat="1" ht="18" x14ac:dyDescent="0.25">
      <c r="B249" s="273" t="s">
        <v>52</v>
      </c>
      <c r="C249" s="274" t="s">
        <v>509</v>
      </c>
      <c r="D249" s="278" t="e">
        <f>D248*'Dados auxiliares'!$H$132</f>
        <v>#DIV/0!</v>
      </c>
      <c r="E249" s="278" t="e">
        <f>E248*'Dados auxiliares'!$H$132</f>
        <v>#DIV/0!</v>
      </c>
      <c r="F249" s="278"/>
      <c r="G249" s="598"/>
      <c r="H249"/>
      <c r="I249"/>
      <c r="J249"/>
    </row>
    <row r="250" spans="2:10" s="71" customFormat="1" ht="18" x14ac:dyDescent="0.25">
      <c r="B250" s="302" t="s">
        <v>52</v>
      </c>
      <c r="C250" s="303" t="s">
        <v>530</v>
      </c>
      <c r="D250" s="304" t="e">
        <f>D249/$E$171</f>
        <v>#DIV/0!</v>
      </c>
      <c r="E250" s="304" t="e">
        <f>E249/$E$172</f>
        <v>#DIV/0!</v>
      </c>
      <c r="F250" s="304"/>
      <c r="G250" s="601"/>
      <c r="H250"/>
      <c r="I250"/>
      <c r="J250"/>
    </row>
    <row r="251" spans="2:10" s="71" customFormat="1" x14ac:dyDescent="0.25">
      <c r="B251" s="573" t="s">
        <v>905</v>
      </c>
      <c r="C251" s="381"/>
      <c r="D251" s="381"/>
      <c r="E251" s="381"/>
      <c r="F251" s="381"/>
      <c r="G251" s="583"/>
      <c r="H251"/>
      <c r="I251"/>
      <c r="J251"/>
    </row>
    <row r="252" spans="2:10" s="71" customFormat="1" x14ac:dyDescent="0.25">
      <c r="B252" s="300" t="s">
        <v>529</v>
      </c>
      <c r="C252" s="300" t="s">
        <v>0</v>
      </c>
      <c r="D252" s="300" t="s">
        <v>45</v>
      </c>
      <c r="E252" s="300" t="s">
        <v>46</v>
      </c>
      <c r="F252" s="300"/>
      <c r="G252" s="600"/>
      <c r="H252"/>
      <c r="I252"/>
      <c r="J252"/>
    </row>
    <row r="253" spans="2:10" s="71" customFormat="1" ht="18" x14ac:dyDescent="0.25">
      <c r="B253" s="273" t="s">
        <v>525</v>
      </c>
      <c r="C253" s="274" t="s">
        <v>526</v>
      </c>
      <c r="D253" s="278" t="e">
        <f>$D$171*'E1G Flex'!$D$223</f>
        <v>#DIV/0!</v>
      </c>
      <c r="E253" s="278" t="e">
        <f>$D$172*'E1G Flex'!$D$229</f>
        <v>#DIV/0!</v>
      </c>
      <c r="F253" s="301"/>
      <c r="G253" s="601"/>
      <c r="H253"/>
      <c r="I253"/>
      <c r="J253"/>
    </row>
    <row r="254" spans="2:10" s="71" customFormat="1" x14ac:dyDescent="0.25">
      <c r="B254" s="273" t="s">
        <v>531</v>
      </c>
      <c r="C254" s="273" t="s">
        <v>258</v>
      </c>
      <c r="D254" s="608">
        <f>'Dados auxiliares'!E156</f>
        <v>200</v>
      </c>
      <c r="E254" s="608">
        <f>'Dados auxiliares'!E156</f>
        <v>200</v>
      </c>
      <c r="F254" s="301"/>
      <c r="G254" s="601"/>
      <c r="H254"/>
      <c r="I254"/>
      <c r="J254"/>
    </row>
    <row r="255" spans="2:10" s="71" customFormat="1" ht="18" x14ac:dyDescent="0.25">
      <c r="B255" s="273" t="s">
        <v>528</v>
      </c>
      <c r="C255" s="274" t="s">
        <v>527</v>
      </c>
      <c r="D255" s="278" t="e">
        <f>D253/1000*D254</f>
        <v>#DIV/0!</v>
      </c>
      <c r="E255" s="278" t="e">
        <f>E253/1000*E254</f>
        <v>#DIV/0!</v>
      </c>
      <c r="F255" s="301"/>
      <c r="G255" s="601"/>
      <c r="H255"/>
      <c r="I255"/>
      <c r="J255"/>
    </row>
    <row r="256" spans="2:10" s="71" customFormat="1" x14ac:dyDescent="0.25">
      <c r="B256" s="273" t="s">
        <v>532</v>
      </c>
      <c r="C256" s="273" t="s">
        <v>258</v>
      </c>
      <c r="D256" s="608">
        <f>'Dados auxiliares'!D156</f>
        <v>500</v>
      </c>
      <c r="E256" s="608">
        <f>'Dados auxiliares'!D156</f>
        <v>500</v>
      </c>
      <c r="F256" s="301"/>
      <c r="G256" s="601"/>
      <c r="H256" s="70"/>
    </row>
    <row r="257" spans="2:8" s="71" customFormat="1" ht="18" x14ac:dyDescent="0.25">
      <c r="B257" s="273" t="s">
        <v>533</v>
      </c>
      <c r="C257" s="274" t="s">
        <v>527</v>
      </c>
      <c r="D257" s="278" t="e">
        <f>D253/1000*D256</f>
        <v>#DIV/0!</v>
      </c>
      <c r="E257" s="278" t="e">
        <f>E253/1000*E256</f>
        <v>#DIV/0!</v>
      </c>
      <c r="F257" s="301"/>
      <c r="G257" s="601"/>
      <c r="H257" s="70"/>
    </row>
    <row r="258" spans="2:8" s="71" customFormat="1" ht="18" x14ac:dyDescent="0.25">
      <c r="B258" s="273" t="s">
        <v>52</v>
      </c>
      <c r="C258" s="274" t="s">
        <v>509</v>
      </c>
      <c r="D258" s="278" t="e">
        <f>D255*'Dados auxiliares'!$H$132+D257*'Dados auxiliares'!$H$136</f>
        <v>#DIV/0!</v>
      </c>
      <c r="E258" s="278" t="e">
        <f>E255*'Dados auxiliares'!$H$132+E257*'Dados auxiliares'!$H$136</f>
        <v>#DIV/0!</v>
      </c>
      <c r="F258" s="301"/>
      <c r="G258" s="601"/>
      <c r="H258" s="70"/>
    </row>
    <row r="259" spans="2:8" s="71" customFormat="1" ht="18" x14ac:dyDescent="0.25">
      <c r="B259" s="302" t="s">
        <v>52</v>
      </c>
      <c r="C259" s="303" t="s">
        <v>530</v>
      </c>
      <c r="D259" s="304" t="e">
        <f>D258/$E$171</f>
        <v>#DIV/0!</v>
      </c>
      <c r="E259" s="304" t="e">
        <f>E258/$E$172</f>
        <v>#DIV/0!</v>
      </c>
      <c r="F259" s="304"/>
      <c r="G259" s="601"/>
      <c r="H259" s="70"/>
    </row>
    <row r="260" spans="2:8" s="71" customFormat="1" x14ac:dyDescent="0.25">
      <c r="B260" s="573" t="s">
        <v>906</v>
      </c>
      <c r="C260" s="381"/>
      <c r="D260" s="381"/>
      <c r="E260" s="381"/>
      <c r="F260" s="381"/>
      <c r="G260" s="583"/>
      <c r="H260" s="70"/>
    </row>
    <row r="261" spans="2:8" s="71" customFormat="1" x14ac:dyDescent="0.25">
      <c r="B261" s="300" t="s">
        <v>529</v>
      </c>
      <c r="C261" s="300" t="s">
        <v>0</v>
      </c>
      <c r="D261" s="300" t="s">
        <v>45</v>
      </c>
      <c r="E261" s="300" t="s">
        <v>46</v>
      </c>
      <c r="F261" s="300"/>
      <c r="G261" s="600"/>
      <c r="H261" s="70"/>
    </row>
    <row r="262" spans="2:8" s="71" customFormat="1" ht="18" x14ac:dyDescent="0.25">
      <c r="B262" s="273" t="s">
        <v>525</v>
      </c>
      <c r="C262" s="274" t="s">
        <v>526</v>
      </c>
      <c r="D262" s="278" t="e">
        <f>$D$171*'E1G Flex'!$D$224</f>
        <v>#DIV/0!</v>
      </c>
      <c r="E262" s="278" t="e">
        <f>$D$172*'E1G Flex'!$D$230</f>
        <v>#DIV/0!</v>
      </c>
      <c r="F262" s="301"/>
      <c r="G262" s="601"/>
      <c r="H262" s="70"/>
    </row>
    <row r="263" spans="2:8" s="71" customFormat="1" x14ac:dyDescent="0.25">
      <c r="B263" s="273" t="s">
        <v>531</v>
      </c>
      <c r="C263" s="273" t="s">
        <v>258</v>
      </c>
      <c r="D263" s="608">
        <f>'Dados auxiliares'!G156</f>
        <v>400</v>
      </c>
      <c r="E263" s="608">
        <f>'Dados auxiliares'!G156</f>
        <v>400</v>
      </c>
      <c r="F263" s="301"/>
      <c r="G263" s="601"/>
      <c r="H263" s="70"/>
    </row>
    <row r="264" spans="2:8" s="71" customFormat="1" ht="18" x14ac:dyDescent="0.25">
      <c r="B264" s="273" t="s">
        <v>528</v>
      </c>
      <c r="C264" s="274" t="s">
        <v>527</v>
      </c>
      <c r="D264" s="278" t="e">
        <f>D262/1000*D263</f>
        <v>#DIV/0!</v>
      </c>
      <c r="E264" s="278" t="e">
        <f>E262/1000*E263</f>
        <v>#DIV/0!</v>
      </c>
      <c r="F264" s="301"/>
      <c r="G264" s="601"/>
      <c r="H264" s="70"/>
    </row>
    <row r="265" spans="2:8" s="71" customFormat="1" x14ac:dyDescent="0.25">
      <c r="B265" s="273" t="s">
        <v>534</v>
      </c>
      <c r="C265" s="273" t="s">
        <v>258</v>
      </c>
      <c r="D265" s="608">
        <f>'Dados auxiliares'!F156</f>
        <v>300</v>
      </c>
      <c r="E265" s="608">
        <f>'Dados auxiliares'!F156</f>
        <v>300</v>
      </c>
      <c r="F265" s="301"/>
      <c r="G265" s="601"/>
      <c r="H265" s="70"/>
    </row>
    <row r="266" spans="2:8" s="71" customFormat="1" ht="18" x14ac:dyDescent="0.25">
      <c r="B266" s="273" t="s">
        <v>311</v>
      </c>
      <c r="C266" s="274" t="s">
        <v>527</v>
      </c>
      <c r="D266" s="278" t="e">
        <f>D262/1000*D265</f>
        <v>#DIV/0!</v>
      </c>
      <c r="E266" s="278" t="e">
        <f>E262/1000*E265</f>
        <v>#DIV/0!</v>
      </c>
      <c r="F266" s="301"/>
      <c r="G266" s="601"/>
      <c r="H266" s="70"/>
    </row>
    <row r="267" spans="2:8" s="71" customFormat="1" ht="18" x14ac:dyDescent="0.25">
      <c r="B267" s="273" t="s">
        <v>52</v>
      </c>
      <c r="C267" s="274" t="s">
        <v>509</v>
      </c>
      <c r="D267" s="278" t="e">
        <f>D264*'Dados auxiliares'!$H$132+D266*'Dados auxiliares'!$H$135</f>
        <v>#DIV/0!</v>
      </c>
      <c r="E267" s="278" t="e">
        <f>E264*'Dados auxiliares'!$H$132+E266*'Dados auxiliares'!$H$135</f>
        <v>#DIV/0!</v>
      </c>
      <c r="F267" s="301"/>
      <c r="G267" s="601"/>
      <c r="H267" s="70"/>
    </row>
    <row r="268" spans="2:8" s="71" customFormat="1" ht="18" x14ac:dyDescent="0.25">
      <c r="B268" s="302" t="s">
        <v>52</v>
      </c>
      <c r="C268" s="303" t="s">
        <v>530</v>
      </c>
      <c r="D268" s="304" t="e">
        <f>D267/$E$171</f>
        <v>#DIV/0!</v>
      </c>
      <c r="E268" s="304" t="e">
        <f>E267/$E$172</f>
        <v>#DIV/0!</v>
      </c>
      <c r="F268" s="304"/>
      <c r="G268" s="601"/>
      <c r="H268" s="70"/>
    </row>
    <row r="269" spans="2:8" s="71" customFormat="1" ht="6" customHeight="1" x14ac:dyDescent="0.25">
      <c r="H269" s="70"/>
    </row>
    <row r="270" spans="2:8" s="71" customFormat="1" ht="18" x14ac:dyDescent="0.25">
      <c r="B270" s="279" t="s">
        <v>55</v>
      </c>
      <c r="C270" s="279" t="s">
        <v>535</v>
      </c>
      <c r="D270" s="305" t="e">
        <f>D250+D259+D268</f>
        <v>#DIV/0!</v>
      </c>
      <c r="E270" s="305" t="e">
        <f>E250+E259+E268</f>
        <v>#DIV/0!</v>
      </c>
      <c r="F270" s="305"/>
      <c r="G270" s="602"/>
      <c r="H270" s="70"/>
    </row>
    <row r="271" spans="2:8" s="71" customFormat="1" x14ac:dyDescent="0.25">
      <c r="B271" s="70"/>
      <c r="C271" s="70"/>
      <c r="D271" s="70"/>
      <c r="E271" s="261"/>
      <c r="F271" s="230"/>
      <c r="G271" s="230"/>
      <c r="H271" s="70"/>
    </row>
    <row r="272" spans="2:8" s="71" customFormat="1" x14ac:dyDescent="0.25">
      <c r="B272" s="70"/>
      <c r="C272" s="70"/>
      <c r="D272" s="70"/>
      <c r="E272" s="261"/>
      <c r="F272" s="230"/>
      <c r="G272" s="230"/>
      <c r="H272" s="70"/>
    </row>
    <row r="273" spans="1:9" s="71" customFormat="1" x14ac:dyDescent="0.25">
      <c r="B273" s="70"/>
      <c r="C273" s="70"/>
      <c r="D273" s="70"/>
      <c r="E273" s="261"/>
      <c r="F273" s="230"/>
      <c r="G273" s="230"/>
      <c r="H273" s="70"/>
    </row>
    <row r="274" spans="1:9" s="71" customFormat="1" x14ac:dyDescent="0.25">
      <c r="B274" s="70"/>
      <c r="C274" s="70"/>
      <c r="D274" s="70"/>
      <c r="E274" s="261"/>
      <c r="F274" s="230"/>
      <c r="G274" s="230"/>
      <c r="H274" s="70"/>
    </row>
    <row r="275" spans="1:9" s="71" customFormat="1" x14ac:dyDescent="0.25">
      <c r="B275" s="70"/>
      <c r="C275" s="70"/>
      <c r="D275" s="70"/>
      <c r="E275" s="261"/>
      <c r="F275" s="230"/>
      <c r="G275" s="230"/>
      <c r="H275" s="70"/>
    </row>
    <row r="276" spans="1:9" s="71" customFormat="1" x14ac:dyDescent="0.25">
      <c r="B276" s="70"/>
      <c r="C276" s="70"/>
      <c r="D276" s="70"/>
      <c r="E276" s="261"/>
      <c r="F276" s="230"/>
      <c r="G276" s="230"/>
      <c r="H276" s="70"/>
    </row>
    <row r="277" spans="1:9" s="71" customFormat="1" x14ac:dyDescent="0.25">
      <c r="B277" s="70"/>
      <c r="C277" s="70"/>
      <c r="D277" s="70"/>
      <c r="E277" s="261"/>
      <c r="F277" s="230"/>
      <c r="G277" s="230"/>
      <c r="H277" s="70"/>
    </row>
    <row r="278" spans="1:9" s="71" customFormat="1" x14ac:dyDescent="0.25">
      <c r="B278" s="70"/>
      <c r="C278" s="70"/>
      <c r="D278" s="70"/>
      <c r="E278" s="261"/>
      <c r="F278" s="230"/>
      <c r="G278" s="230"/>
      <c r="H278" s="70"/>
    </row>
    <row r="279" spans="1:9" s="71" customFormat="1" x14ac:dyDescent="0.25">
      <c r="B279" s="70"/>
      <c r="C279" s="70"/>
      <c r="D279" s="70"/>
      <c r="E279" s="261"/>
      <c r="F279" s="230"/>
      <c r="G279" s="230"/>
      <c r="H279" s="70"/>
    </row>
    <row r="280" spans="1:9" s="71" customFormat="1" x14ac:dyDescent="0.25">
      <c r="B280" s="70"/>
      <c r="C280" s="70"/>
      <c r="D280" s="70"/>
      <c r="E280" s="261"/>
      <c r="F280" s="230"/>
      <c r="G280" s="230"/>
      <c r="H280" s="70"/>
    </row>
    <row r="281" spans="1:9" s="71" customFormat="1" x14ac:dyDescent="0.25">
      <c r="B281" s="70"/>
      <c r="C281" s="70"/>
      <c r="D281" s="70"/>
      <c r="E281" s="261"/>
      <c r="F281" s="230"/>
      <c r="G281" s="230"/>
      <c r="H281" s="70"/>
    </row>
    <row r="282" spans="1:9" s="230" customFormat="1" x14ac:dyDescent="0.25">
      <c r="A282" s="71"/>
      <c r="B282" s="70"/>
      <c r="C282" s="70"/>
      <c r="D282" s="70"/>
      <c r="E282" s="261"/>
      <c r="H282" s="70"/>
      <c r="I282" s="71"/>
    </row>
    <row r="283" spans="1:9" s="230" customFormat="1" x14ac:dyDescent="0.25">
      <c r="A283" s="71"/>
      <c r="B283" s="70"/>
      <c r="C283" s="70"/>
      <c r="D283" s="70"/>
      <c r="E283" s="261"/>
      <c r="H283" s="70"/>
      <c r="I283" s="71"/>
    </row>
    <row r="284" spans="1:9" s="230" customFormat="1" x14ac:dyDescent="0.25">
      <c r="A284" s="71"/>
      <c r="B284" s="70"/>
      <c r="C284" s="70"/>
      <c r="D284" s="70"/>
      <c r="E284" s="261"/>
      <c r="H284" s="70"/>
      <c r="I284" s="71"/>
    </row>
    <row r="285" spans="1:9" s="230" customFormat="1" x14ac:dyDescent="0.25">
      <c r="A285" s="71"/>
      <c r="B285" s="70"/>
      <c r="C285" s="70"/>
      <c r="D285" s="70"/>
      <c r="E285" s="261"/>
      <c r="H285" s="70"/>
      <c r="I285" s="71"/>
    </row>
    <row r="286" spans="1:9" s="230" customFormat="1" x14ac:dyDescent="0.25">
      <c r="A286" s="71"/>
      <c r="B286" s="70"/>
      <c r="C286" s="70"/>
      <c r="D286" s="70"/>
      <c r="E286" s="261"/>
      <c r="H286" s="70"/>
      <c r="I286" s="71"/>
    </row>
    <row r="287" spans="1:9" s="230" customFormat="1" x14ac:dyDescent="0.25">
      <c r="A287" s="71"/>
      <c r="B287" s="70"/>
      <c r="C287" s="70"/>
      <c r="D287" s="70"/>
      <c r="E287" s="261"/>
      <c r="H287" s="70"/>
      <c r="I287" s="71"/>
    </row>
    <row r="288" spans="1:9" s="230" customFormat="1" x14ac:dyDescent="0.25">
      <c r="A288" s="71"/>
      <c r="B288" s="70"/>
      <c r="C288" s="70"/>
      <c r="D288" s="70"/>
      <c r="E288" s="261"/>
      <c r="H288" s="70"/>
      <c r="I288" s="71"/>
    </row>
    <row r="289" spans="1:9" s="230" customFormat="1" x14ac:dyDescent="0.25">
      <c r="A289" s="71"/>
      <c r="B289" s="70"/>
      <c r="C289" s="70"/>
      <c r="D289" s="70"/>
      <c r="E289" s="261"/>
      <c r="H289" s="70"/>
      <c r="I289" s="71"/>
    </row>
    <row r="290" spans="1:9" s="230" customFormat="1" x14ac:dyDescent="0.25">
      <c r="A290" s="71"/>
      <c r="B290" s="70"/>
      <c r="C290" s="70"/>
      <c r="D290" s="70"/>
      <c r="E290" s="261"/>
      <c r="H290" s="70"/>
      <c r="I290" s="71"/>
    </row>
    <row r="291" spans="1:9" s="230" customFormat="1" x14ac:dyDescent="0.25">
      <c r="A291" s="71"/>
      <c r="B291" s="70"/>
      <c r="C291" s="70"/>
      <c r="D291" s="70"/>
      <c r="E291" s="261"/>
      <c r="H291" s="70"/>
      <c r="I291" s="71"/>
    </row>
    <row r="292" spans="1:9" s="230" customFormat="1" x14ac:dyDescent="0.25">
      <c r="A292" s="71"/>
      <c r="B292" s="70"/>
      <c r="C292" s="70"/>
      <c r="D292" s="70"/>
      <c r="E292" s="261"/>
      <c r="H292" s="70"/>
      <c r="I292" s="71"/>
    </row>
    <row r="293" spans="1:9" s="230" customFormat="1" x14ac:dyDescent="0.25">
      <c r="A293" s="71"/>
      <c r="B293" s="70"/>
      <c r="C293" s="70"/>
      <c r="D293" s="70"/>
      <c r="E293" s="261"/>
      <c r="H293" s="70"/>
      <c r="I293" s="71"/>
    </row>
    <row r="294" spans="1:9" s="230" customFormat="1" x14ac:dyDescent="0.25">
      <c r="A294" s="71"/>
      <c r="B294" s="70"/>
      <c r="C294" s="70"/>
      <c r="D294" s="70"/>
      <c r="E294" s="261"/>
      <c r="H294" s="70"/>
      <c r="I294" s="71"/>
    </row>
    <row r="295" spans="1:9" s="230" customFormat="1" x14ac:dyDescent="0.25">
      <c r="A295" s="71"/>
      <c r="B295" s="70"/>
      <c r="C295" s="70"/>
      <c r="D295" s="70"/>
      <c r="E295" s="261"/>
      <c r="H295" s="70"/>
      <c r="I295" s="71"/>
    </row>
    <row r="296" spans="1:9" s="230" customFormat="1" x14ac:dyDescent="0.25">
      <c r="A296" s="71"/>
      <c r="B296" s="70"/>
      <c r="C296" s="70"/>
      <c r="D296" s="70"/>
      <c r="E296" s="261"/>
      <c r="H296" s="70"/>
      <c r="I296" s="71"/>
    </row>
    <row r="297" spans="1:9" s="230" customFormat="1" x14ac:dyDescent="0.25">
      <c r="A297" s="71"/>
      <c r="B297" s="70"/>
      <c r="C297" s="70"/>
      <c r="D297" s="70"/>
      <c r="E297" s="261"/>
      <c r="H297" s="70"/>
      <c r="I297" s="71"/>
    </row>
    <row r="298" spans="1:9" s="230" customFormat="1" x14ac:dyDescent="0.25">
      <c r="A298" s="71"/>
      <c r="B298" s="70"/>
      <c r="C298" s="70"/>
      <c r="D298" s="70"/>
      <c r="E298" s="261"/>
      <c r="H298" s="70"/>
      <c r="I298" s="71"/>
    </row>
    <row r="299" spans="1:9" s="230" customFormat="1" x14ac:dyDescent="0.25">
      <c r="A299" s="71"/>
      <c r="B299" s="70"/>
      <c r="C299" s="70"/>
      <c r="D299" s="70"/>
      <c r="E299" s="261"/>
      <c r="H299" s="70"/>
      <c r="I299" s="71"/>
    </row>
    <row r="300" spans="1:9" s="230" customFormat="1" x14ac:dyDescent="0.25">
      <c r="A300" s="71"/>
      <c r="B300" s="70"/>
      <c r="C300" s="70"/>
      <c r="D300" s="70"/>
      <c r="E300" s="261"/>
      <c r="H300" s="70"/>
      <c r="I300" s="71"/>
    </row>
    <row r="301" spans="1:9" s="230" customFormat="1" x14ac:dyDescent="0.25">
      <c r="A301" s="71"/>
      <c r="B301" s="70"/>
      <c r="C301" s="70"/>
      <c r="D301" s="70"/>
      <c r="E301" s="261"/>
      <c r="H301" s="70"/>
      <c r="I301" s="71"/>
    </row>
    <row r="302" spans="1:9" s="230" customFormat="1" x14ac:dyDescent="0.25">
      <c r="A302" s="71"/>
      <c r="B302" s="70"/>
      <c r="C302" s="70"/>
      <c r="D302" s="70"/>
      <c r="E302" s="261"/>
      <c r="H302" s="70"/>
      <c r="I302" s="71"/>
    </row>
    <row r="303" spans="1:9" s="230" customFormat="1" x14ac:dyDescent="0.25">
      <c r="A303" s="71"/>
      <c r="B303" s="70"/>
      <c r="C303" s="70"/>
      <c r="D303" s="70"/>
      <c r="E303" s="261"/>
      <c r="H303" s="70"/>
      <c r="I303" s="71"/>
    </row>
    <row r="304" spans="1:9" s="230" customFormat="1" x14ac:dyDescent="0.25">
      <c r="A304" s="71"/>
      <c r="B304" s="70"/>
      <c r="C304" s="70"/>
      <c r="D304" s="70"/>
      <c r="E304" s="261"/>
      <c r="H304" s="70"/>
      <c r="I304" s="71"/>
    </row>
    <row r="305" spans="1:9" s="230" customFormat="1" x14ac:dyDescent="0.25">
      <c r="A305" s="71"/>
      <c r="B305" s="70"/>
      <c r="C305" s="70"/>
      <c r="D305" s="70"/>
      <c r="E305" s="261"/>
      <c r="H305" s="70"/>
      <c r="I305" s="71"/>
    </row>
    <row r="306" spans="1:9" s="230" customFormat="1" x14ac:dyDescent="0.25">
      <c r="A306" s="71"/>
      <c r="B306" s="70"/>
      <c r="C306" s="70"/>
      <c r="D306" s="70"/>
      <c r="E306" s="261"/>
      <c r="H306" s="70"/>
      <c r="I306" s="71"/>
    </row>
    <row r="307" spans="1:9" s="230" customFormat="1" x14ac:dyDescent="0.25">
      <c r="A307" s="71"/>
      <c r="B307" s="70"/>
      <c r="C307" s="70"/>
      <c r="D307" s="70"/>
      <c r="E307" s="261"/>
      <c r="H307" s="70"/>
      <c r="I307" s="71"/>
    </row>
    <row r="308" spans="1:9" s="230" customFormat="1" x14ac:dyDescent="0.25">
      <c r="A308" s="71"/>
      <c r="B308" s="70"/>
      <c r="C308" s="70"/>
      <c r="D308" s="70"/>
      <c r="E308" s="261"/>
      <c r="H308" s="70"/>
      <c r="I308" s="71"/>
    </row>
    <row r="309" spans="1:9" s="230" customFormat="1" x14ac:dyDescent="0.25">
      <c r="A309" s="71"/>
      <c r="B309" s="70"/>
      <c r="C309" s="70"/>
      <c r="D309" s="70"/>
      <c r="E309" s="261"/>
      <c r="H309" s="70"/>
      <c r="I309" s="71"/>
    </row>
    <row r="310" spans="1:9" s="230" customFormat="1" x14ac:dyDescent="0.25">
      <c r="A310" s="71"/>
      <c r="B310" s="70"/>
      <c r="C310" s="70"/>
      <c r="D310" s="70"/>
      <c r="E310" s="261"/>
      <c r="H310" s="70"/>
      <c r="I310" s="71"/>
    </row>
    <row r="311" spans="1:9" s="230" customFormat="1" x14ac:dyDescent="0.25">
      <c r="A311" s="71"/>
      <c r="B311" s="70"/>
      <c r="C311" s="70"/>
      <c r="D311" s="70"/>
      <c r="E311" s="261"/>
      <c r="H311" s="70"/>
      <c r="I311" s="71"/>
    </row>
    <row r="312" spans="1:9" s="230" customFormat="1" x14ac:dyDescent="0.25">
      <c r="A312" s="71"/>
      <c r="B312" s="70"/>
      <c r="C312" s="70"/>
      <c r="D312" s="70"/>
      <c r="E312" s="261"/>
      <c r="H312" s="70"/>
      <c r="I312" s="71"/>
    </row>
    <row r="313" spans="1:9" s="230" customFormat="1" x14ac:dyDescent="0.25">
      <c r="A313" s="71"/>
      <c r="B313" s="70"/>
      <c r="C313" s="70"/>
      <c r="D313" s="70"/>
      <c r="E313" s="261"/>
      <c r="H313" s="70"/>
      <c r="I313" s="71"/>
    </row>
    <row r="314" spans="1:9" s="230" customFormat="1" x14ac:dyDescent="0.25">
      <c r="A314" s="71"/>
      <c r="B314" s="70"/>
      <c r="C314" s="70"/>
      <c r="D314" s="70"/>
      <c r="E314" s="261"/>
      <c r="H314" s="70"/>
      <c r="I314" s="71"/>
    </row>
    <row r="315" spans="1:9" s="230" customFormat="1" x14ac:dyDescent="0.25">
      <c r="A315" s="71"/>
      <c r="B315" s="70"/>
      <c r="C315" s="70"/>
      <c r="D315" s="70"/>
      <c r="E315" s="261"/>
      <c r="H315" s="70"/>
      <c r="I315" s="71"/>
    </row>
    <row r="316" spans="1:9" s="230" customFormat="1" x14ac:dyDescent="0.25">
      <c r="A316" s="71"/>
      <c r="B316" s="70"/>
      <c r="C316" s="70"/>
      <c r="D316" s="70"/>
      <c r="E316" s="261"/>
      <c r="H316" s="70"/>
      <c r="I316" s="71"/>
    </row>
    <row r="317" spans="1:9" s="230" customFormat="1" x14ac:dyDescent="0.25">
      <c r="A317" s="71"/>
      <c r="B317" s="70"/>
      <c r="C317" s="70"/>
      <c r="D317" s="70"/>
      <c r="E317" s="261"/>
      <c r="H317" s="70"/>
      <c r="I317" s="71"/>
    </row>
    <row r="318" spans="1:9" s="230" customFormat="1" x14ac:dyDescent="0.25">
      <c r="A318" s="71"/>
      <c r="B318" s="70"/>
      <c r="C318" s="70"/>
      <c r="D318" s="70"/>
      <c r="E318" s="261"/>
      <c r="H318" s="70"/>
      <c r="I318" s="71"/>
    </row>
    <row r="319" spans="1:9" s="230" customFormat="1" x14ac:dyDescent="0.25">
      <c r="A319" s="71"/>
      <c r="B319" s="70"/>
      <c r="C319" s="70"/>
      <c r="D319" s="70"/>
      <c r="E319" s="261"/>
      <c r="H319" s="70"/>
      <c r="I319" s="71"/>
    </row>
    <row r="320" spans="1:9" s="230" customFormat="1" x14ac:dyDescent="0.25">
      <c r="A320" s="71"/>
      <c r="B320" s="70"/>
      <c r="C320" s="70"/>
      <c r="D320" s="70"/>
      <c r="E320" s="261"/>
      <c r="H320" s="70"/>
      <c r="I320" s="71"/>
    </row>
    <row r="321" spans="1:9" s="230" customFormat="1" x14ac:dyDescent="0.25">
      <c r="A321" s="71"/>
      <c r="B321" s="70"/>
      <c r="C321" s="70"/>
      <c r="D321" s="70"/>
      <c r="E321" s="261"/>
      <c r="H321" s="70"/>
      <c r="I321" s="71"/>
    </row>
    <row r="322" spans="1:9" s="230" customFormat="1" x14ac:dyDescent="0.25">
      <c r="A322" s="71"/>
      <c r="B322" s="70"/>
      <c r="C322" s="70"/>
      <c r="D322" s="70"/>
      <c r="E322" s="261"/>
      <c r="H322" s="70"/>
      <c r="I322" s="71"/>
    </row>
    <row r="323" spans="1:9" s="230" customFormat="1" x14ac:dyDescent="0.25">
      <c r="A323" s="71"/>
      <c r="B323" s="70"/>
      <c r="C323" s="70"/>
      <c r="D323" s="70"/>
      <c r="E323" s="261"/>
      <c r="H323" s="70"/>
      <c r="I323" s="71"/>
    </row>
    <row r="324" spans="1:9" s="230" customFormat="1" x14ac:dyDescent="0.25">
      <c r="A324" s="71"/>
      <c r="B324" s="70"/>
      <c r="C324" s="70"/>
      <c r="D324" s="70"/>
      <c r="E324" s="261"/>
      <c r="H324" s="70"/>
      <c r="I324" s="71"/>
    </row>
    <row r="325" spans="1:9" s="230" customFormat="1" x14ac:dyDescent="0.25">
      <c r="A325" s="71"/>
      <c r="B325" s="70"/>
      <c r="C325" s="70"/>
      <c r="D325" s="70"/>
      <c r="E325" s="261"/>
      <c r="H325" s="70"/>
      <c r="I325" s="71"/>
    </row>
    <row r="326" spans="1:9" s="230" customFormat="1" x14ac:dyDescent="0.25">
      <c r="A326" s="71"/>
      <c r="B326" s="70"/>
      <c r="C326" s="70"/>
      <c r="D326" s="70"/>
      <c r="E326" s="261"/>
      <c r="H326" s="70"/>
      <c r="I326" s="71"/>
    </row>
    <row r="327" spans="1:9" s="230" customFormat="1" x14ac:dyDescent="0.25">
      <c r="A327" s="71"/>
      <c r="B327" s="70"/>
      <c r="C327" s="70"/>
      <c r="D327" s="70"/>
      <c r="E327" s="261"/>
      <c r="H327" s="70"/>
      <c r="I327" s="71"/>
    </row>
    <row r="328" spans="1:9" s="230" customFormat="1" x14ac:dyDescent="0.25">
      <c r="A328" s="71"/>
      <c r="B328" s="70"/>
      <c r="C328" s="70"/>
      <c r="D328" s="70"/>
      <c r="E328" s="261"/>
      <c r="H328" s="70"/>
      <c r="I328" s="71"/>
    </row>
    <row r="329" spans="1:9" s="230" customFormat="1" x14ac:dyDescent="0.25">
      <c r="A329" s="71"/>
      <c r="B329" s="70"/>
      <c r="C329" s="70"/>
      <c r="D329" s="70"/>
      <c r="E329" s="261"/>
      <c r="H329" s="70"/>
      <c r="I329" s="71"/>
    </row>
    <row r="330" spans="1:9" s="230" customFormat="1" x14ac:dyDescent="0.25">
      <c r="A330" s="71"/>
      <c r="B330" s="70"/>
      <c r="C330" s="70"/>
      <c r="D330" s="70"/>
      <c r="E330" s="261"/>
      <c r="H330" s="70"/>
      <c r="I330" s="71"/>
    </row>
    <row r="331" spans="1:9" s="230" customFormat="1" x14ac:dyDescent="0.25">
      <c r="A331" s="71"/>
      <c r="B331" s="70"/>
      <c r="C331" s="70"/>
      <c r="D331" s="70"/>
      <c r="E331" s="261"/>
      <c r="H331" s="70"/>
      <c r="I331" s="71"/>
    </row>
    <row r="332" spans="1:9" s="230" customFormat="1" x14ac:dyDescent="0.25">
      <c r="A332" s="71"/>
      <c r="B332" s="70"/>
      <c r="C332" s="70"/>
      <c r="D332" s="70"/>
      <c r="E332" s="261"/>
      <c r="H332" s="70"/>
      <c r="I332" s="71"/>
    </row>
    <row r="333" spans="1:9" s="230" customFormat="1" x14ac:dyDescent="0.25">
      <c r="A333" s="71"/>
      <c r="B333" s="70"/>
      <c r="C333" s="70"/>
      <c r="D333" s="70"/>
      <c r="E333" s="261"/>
      <c r="H333" s="70"/>
      <c r="I333" s="71"/>
    </row>
    <row r="334" spans="1:9" s="230" customFormat="1" x14ac:dyDescent="0.25">
      <c r="A334" s="71"/>
      <c r="B334" s="70"/>
      <c r="C334" s="70"/>
      <c r="D334" s="70"/>
      <c r="E334" s="261"/>
      <c r="H334" s="70"/>
      <c r="I334" s="71"/>
    </row>
    <row r="335" spans="1:9" s="230" customFormat="1" x14ac:dyDescent="0.25">
      <c r="A335" s="71"/>
      <c r="B335" s="70"/>
      <c r="C335" s="70"/>
      <c r="D335" s="70"/>
      <c r="E335" s="261"/>
      <c r="H335" s="70"/>
      <c r="I335" s="71"/>
    </row>
    <row r="336" spans="1:9" s="230" customFormat="1" x14ac:dyDescent="0.25">
      <c r="A336" s="71"/>
      <c r="B336" s="70"/>
      <c r="C336" s="70"/>
      <c r="D336" s="70"/>
      <c r="E336" s="261"/>
      <c r="H336" s="70"/>
      <c r="I336" s="71"/>
    </row>
    <row r="337" spans="1:9" s="230" customFormat="1" x14ac:dyDescent="0.25">
      <c r="A337" s="71"/>
      <c r="B337" s="70"/>
      <c r="C337" s="70"/>
      <c r="D337" s="70"/>
      <c r="E337" s="261"/>
      <c r="H337" s="70"/>
      <c r="I337" s="71"/>
    </row>
    <row r="338" spans="1:9" s="230" customFormat="1" x14ac:dyDescent="0.25">
      <c r="A338" s="71"/>
      <c r="B338" s="70"/>
      <c r="C338" s="70"/>
      <c r="D338" s="70"/>
      <c r="E338" s="261"/>
      <c r="H338" s="70"/>
      <c r="I338" s="71"/>
    </row>
    <row r="339" spans="1:9" s="230" customFormat="1" x14ac:dyDescent="0.25">
      <c r="A339" s="71"/>
      <c r="B339" s="70"/>
      <c r="C339" s="70"/>
      <c r="D339" s="70"/>
      <c r="E339" s="261"/>
      <c r="H339" s="70"/>
      <c r="I339" s="71"/>
    </row>
    <row r="340" spans="1:9" s="230" customFormat="1" x14ac:dyDescent="0.25">
      <c r="A340" s="71"/>
      <c r="B340" s="70"/>
      <c r="C340" s="70"/>
      <c r="D340" s="70"/>
      <c r="E340" s="261"/>
      <c r="H340" s="70"/>
      <c r="I340" s="71"/>
    </row>
    <row r="341" spans="1:9" s="230" customFormat="1" x14ac:dyDescent="0.25">
      <c r="A341" s="71"/>
      <c r="B341" s="70"/>
      <c r="C341" s="70"/>
      <c r="D341" s="70"/>
      <c r="E341" s="261"/>
      <c r="H341" s="70"/>
      <c r="I341" s="71"/>
    </row>
    <row r="342" spans="1:9" s="230" customFormat="1" x14ac:dyDescent="0.25">
      <c r="A342" s="71"/>
      <c r="B342" s="70"/>
      <c r="C342" s="70"/>
      <c r="D342" s="70"/>
      <c r="E342" s="261"/>
      <c r="H342" s="70"/>
      <c r="I342" s="71"/>
    </row>
    <row r="343" spans="1:9" s="230" customFormat="1" x14ac:dyDescent="0.25">
      <c r="A343" s="71"/>
      <c r="B343" s="70"/>
      <c r="C343" s="70"/>
      <c r="D343" s="70"/>
      <c r="E343" s="261"/>
      <c r="H343" s="70"/>
      <c r="I343" s="71"/>
    </row>
    <row r="344" spans="1:9" s="230" customFormat="1" x14ac:dyDescent="0.25">
      <c r="A344" s="71"/>
      <c r="B344" s="70"/>
      <c r="C344" s="70"/>
      <c r="D344" s="70"/>
      <c r="E344" s="261"/>
      <c r="H344" s="70"/>
      <c r="I344" s="71"/>
    </row>
    <row r="345" spans="1:9" s="230" customFormat="1" x14ac:dyDescent="0.25">
      <c r="A345" s="71"/>
      <c r="B345" s="70"/>
      <c r="C345" s="70"/>
      <c r="D345" s="70"/>
      <c r="E345" s="261"/>
      <c r="H345" s="70"/>
      <c r="I345" s="71"/>
    </row>
    <row r="346" spans="1:9" s="230" customFormat="1" x14ac:dyDescent="0.25">
      <c r="A346" s="71"/>
      <c r="B346" s="70"/>
      <c r="C346" s="70"/>
      <c r="D346" s="70"/>
      <c r="E346" s="261"/>
      <c r="H346" s="70"/>
      <c r="I346" s="71"/>
    </row>
    <row r="347" spans="1:9" s="230" customFormat="1" x14ac:dyDescent="0.25">
      <c r="A347" s="71"/>
      <c r="B347" s="70"/>
      <c r="C347" s="70"/>
      <c r="D347" s="70"/>
      <c r="E347" s="261"/>
      <c r="H347" s="70"/>
      <c r="I347" s="71"/>
    </row>
    <row r="348" spans="1:9" s="230" customFormat="1" x14ac:dyDescent="0.25">
      <c r="A348" s="71"/>
      <c r="B348" s="70"/>
      <c r="C348" s="70"/>
      <c r="D348" s="70"/>
      <c r="E348" s="261"/>
      <c r="H348" s="70"/>
      <c r="I348" s="71"/>
    </row>
    <row r="349" spans="1:9" s="230" customFormat="1" x14ac:dyDescent="0.25">
      <c r="A349" s="71"/>
      <c r="B349" s="70"/>
      <c r="C349" s="70"/>
      <c r="D349" s="70"/>
      <c r="E349" s="261"/>
      <c r="H349" s="70"/>
      <c r="I349" s="71"/>
    </row>
    <row r="350" spans="1:9" s="230" customFormat="1" x14ac:dyDescent="0.25">
      <c r="A350" s="71"/>
      <c r="B350" s="70"/>
      <c r="C350" s="70"/>
      <c r="D350" s="70"/>
      <c r="E350" s="261"/>
      <c r="H350" s="70"/>
      <c r="I350" s="71"/>
    </row>
    <row r="351" spans="1:9" s="230" customFormat="1" x14ac:dyDescent="0.25">
      <c r="A351" s="71"/>
      <c r="B351" s="70"/>
      <c r="C351" s="70"/>
      <c r="D351" s="70"/>
      <c r="E351" s="261"/>
      <c r="H351" s="70"/>
      <c r="I351" s="71"/>
    </row>
    <row r="352" spans="1:9" s="230" customFormat="1" x14ac:dyDescent="0.25">
      <c r="A352" s="71"/>
      <c r="B352" s="70"/>
      <c r="C352" s="70"/>
      <c r="D352" s="70"/>
      <c r="E352" s="261"/>
      <c r="H352" s="70"/>
      <c r="I352" s="71"/>
    </row>
    <row r="353" spans="1:9" s="230" customFormat="1" x14ac:dyDescent="0.25">
      <c r="A353" s="71"/>
      <c r="B353" s="70"/>
      <c r="C353" s="70"/>
      <c r="D353" s="70"/>
      <c r="E353" s="261"/>
      <c r="H353" s="70"/>
      <c r="I353" s="71"/>
    </row>
    <row r="354" spans="1:9" s="230" customFormat="1" x14ac:dyDescent="0.25">
      <c r="A354" s="71"/>
      <c r="B354" s="70"/>
      <c r="C354" s="70"/>
      <c r="D354" s="70"/>
      <c r="E354" s="261"/>
      <c r="H354" s="70"/>
      <c r="I354" s="71"/>
    </row>
    <row r="355" spans="1:9" s="230" customFormat="1" x14ac:dyDescent="0.25">
      <c r="A355" s="71"/>
      <c r="B355" s="70"/>
      <c r="C355" s="70"/>
      <c r="D355" s="70"/>
      <c r="E355" s="261"/>
      <c r="H355" s="70"/>
      <c r="I355" s="71"/>
    </row>
    <row r="356" spans="1:9" s="230" customFormat="1" x14ac:dyDescent="0.25">
      <c r="A356" s="71"/>
      <c r="B356" s="70"/>
      <c r="C356" s="70"/>
      <c r="D356" s="70"/>
      <c r="E356" s="261"/>
      <c r="H356" s="70"/>
      <c r="I356" s="71"/>
    </row>
    <row r="357" spans="1:9" s="230" customFormat="1" x14ac:dyDescent="0.25">
      <c r="A357" s="71"/>
      <c r="B357" s="70"/>
      <c r="C357" s="70"/>
      <c r="D357" s="70"/>
      <c r="E357" s="261"/>
      <c r="H357" s="70"/>
      <c r="I357" s="71"/>
    </row>
    <row r="358" spans="1:9" s="230" customFormat="1" x14ac:dyDescent="0.25">
      <c r="A358" s="71"/>
      <c r="B358" s="70"/>
      <c r="C358" s="70"/>
      <c r="D358" s="70"/>
      <c r="E358" s="261"/>
      <c r="H358" s="70"/>
      <c r="I358" s="71"/>
    </row>
    <row r="359" spans="1:9" s="230" customFormat="1" x14ac:dyDescent="0.25">
      <c r="A359" s="71"/>
      <c r="B359" s="70"/>
      <c r="C359" s="70"/>
      <c r="D359" s="70"/>
      <c r="E359" s="261"/>
      <c r="H359" s="70"/>
      <c r="I359" s="71"/>
    </row>
    <row r="360" spans="1:9" s="230" customFormat="1" x14ac:dyDescent="0.25">
      <c r="A360" s="71"/>
      <c r="B360" s="70"/>
      <c r="C360" s="70"/>
      <c r="D360" s="70"/>
      <c r="E360" s="261"/>
      <c r="H360" s="70"/>
      <c r="I360" s="71"/>
    </row>
    <row r="361" spans="1:9" s="230" customFormat="1" x14ac:dyDescent="0.25">
      <c r="A361" s="71"/>
      <c r="B361" s="70"/>
      <c r="C361" s="70"/>
      <c r="D361" s="70"/>
      <c r="E361" s="261"/>
      <c r="H361" s="70"/>
      <c r="I361" s="71"/>
    </row>
    <row r="362" spans="1:9" s="230" customFormat="1" x14ac:dyDescent="0.25">
      <c r="A362" s="71"/>
      <c r="B362" s="70"/>
      <c r="C362" s="70"/>
      <c r="D362" s="70"/>
      <c r="E362" s="261"/>
      <c r="H362" s="70"/>
      <c r="I362" s="71"/>
    </row>
    <row r="363" spans="1:9" s="230" customFormat="1" x14ac:dyDescent="0.25">
      <c r="A363" s="71"/>
      <c r="B363" s="70"/>
      <c r="C363" s="70"/>
      <c r="D363" s="70"/>
      <c r="E363" s="261"/>
      <c r="H363" s="70"/>
      <c r="I363" s="71"/>
    </row>
    <row r="364" spans="1:9" s="230" customFormat="1" x14ac:dyDescent="0.25">
      <c r="A364" s="71"/>
      <c r="B364" s="70"/>
      <c r="C364" s="70"/>
      <c r="D364" s="70"/>
      <c r="E364" s="261"/>
      <c r="H364" s="70"/>
      <c r="I364" s="71"/>
    </row>
    <row r="365" spans="1:9" s="230" customFormat="1" x14ac:dyDescent="0.25">
      <c r="A365" s="71"/>
      <c r="B365" s="70"/>
      <c r="C365" s="70"/>
      <c r="D365" s="70"/>
      <c r="E365" s="261"/>
      <c r="H365" s="70"/>
      <c r="I365" s="71"/>
    </row>
    <row r="366" spans="1:9" s="230" customFormat="1" x14ac:dyDescent="0.25">
      <c r="A366" s="71"/>
      <c r="B366" s="70"/>
      <c r="C366" s="70"/>
      <c r="D366" s="70"/>
      <c r="E366" s="261"/>
      <c r="H366" s="70"/>
      <c r="I366" s="71"/>
    </row>
    <row r="367" spans="1:9" s="230" customFormat="1" x14ac:dyDescent="0.25">
      <c r="A367" s="71"/>
      <c r="B367" s="70"/>
      <c r="C367" s="70"/>
      <c r="D367" s="70"/>
      <c r="E367" s="261"/>
      <c r="H367" s="70"/>
      <c r="I367" s="71"/>
    </row>
    <row r="368" spans="1:9" s="230" customFormat="1" x14ac:dyDescent="0.25">
      <c r="A368" s="71"/>
      <c r="B368" s="70"/>
      <c r="C368" s="70"/>
      <c r="D368" s="70"/>
      <c r="E368" s="261"/>
      <c r="H368" s="70"/>
      <c r="I368" s="71"/>
    </row>
    <row r="369" spans="1:9" s="230" customFormat="1" x14ac:dyDescent="0.25">
      <c r="A369" s="71"/>
      <c r="B369" s="70"/>
      <c r="C369" s="70"/>
      <c r="D369" s="70"/>
      <c r="E369" s="261"/>
      <c r="H369" s="70"/>
      <c r="I369" s="71"/>
    </row>
    <row r="370" spans="1:9" s="230" customFormat="1" x14ac:dyDescent="0.25">
      <c r="A370" s="71"/>
      <c r="B370" s="70"/>
      <c r="C370" s="70"/>
      <c r="D370" s="70"/>
      <c r="E370" s="261"/>
      <c r="H370" s="70"/>
      <c r="I370" s="71"/>
    </row>
    <row r="371" spans="1:9" s="230" customFormat="1" x14ac:dyDescent="0.25">
      <c r="A371" s="71"/>
      <c r="B371" s="70"/>
      <c r="C371" s="70"/>
      <c r="D371" s="70"/>
      <c r="E371" s="261"/>
      <c r="H371" s="70"/>
      <c r="I371" s="71"/>
    </row>
    <row r="372" spans="1:9" s="230" customFormat="1" x14ac:dyDescent="0.25">
      <c r="A372" s="71"/>
      <c r="B372" s="70"/>
      <c r="C372" s="70"/>
      <c r="D372" s="70"/>
      <c r="E372" s="261"/>
      <c r="H372" s="70"/>
      <c r="I372" s="71"/>
    </row>
    <row r="373" spans="1:9" s="230" customFormat="1" x14ac:dyDescent="0.25">
      <c r="A373" s="71"/>
      <c r="B373" s="70"/>
      <c r="C373" s="70"/>
      <c r="D373" s="70"/>
      <c r="E373" s="261"/>
      <c r="H373" s="70"/>
      <c r="I373" s="71"/>
    </row>
    <row r="374" spans="1:9" s="230" customFormat="1" x14ac:dyDescent="0.25">
      <c r="A374" s="71"/>
      <c r="B374" s="70"/>
      <c r="C374" s="70"/>
      <c r="D374" s="70"/>
      <c r="E374" s="261"/>
      <c r="H374" s="70"/>
      <c r="I374" s="71"/>
    </row>
    <row r="375" spans="1:9" s="230" customFormat="1" x14ac:dyDescent="0.25">
      <c r="A375" s="71"/>
      <c r="B375" s="70"/>
      <c r="C375" s="70"/>
      <c r="D375" s="70"/>
      <c r="E375" s="261"/>
      <c r="H375" s="70"/>
      <c r="I375" s="71"/>
    </row>
    <row r="376" spans="1:9" s="230" customFormat="1" x14ac:dyDescent="0.25">
      <c r="A376" s="71"/>
      <c r="B376" s="70"/>
      <c r="C376" s="70"/>
      <c r="D376" s="70"/>
      <c r="E376" s="261"/>
      <c r="H376" s="70"/>
      <c r="I376" s="71"/>
    </row>
    <row r="377" spans="1:9" s="230" customFormat="1" x14ac:dyDescent="0.25">
      <c r="A377" s="71"/>
      <c r="B377" s="70"/>
      <c r="C377" s="70"/>
      <c r="D377" s="70"/>
      <c r="E377" s="261"/>
      <c r="H377" s="70"/>
      <c r="I377" s="71"/>
    </row>
    <row r="378" spans="1:9" s="230" customFormat="1" x14ac:dyDescent="0.25">
      <c r="A378" s="71"/>
      <c r="B378" s="70"/>
      <c r="C378" s="70"/>
      <c r="D378" s="70"/>
      <c r="E378" s="261"/>
      <c r="H378" s="70"/>
      <c r="I378" s="71"/>
    </row>
    <row r="379" spans="1:9" s="230" customFormat="1" x14ac:dyDescent="0.25">
      <c r="A379" s="71"/>
      <c r="B379" s="70"/>
      <c r="C379" s="70"/>
      <c r="D379" s="70"/>
      <c r="E379" s="261"/>
      <c r="H379" s="70"/>
      <c r="I379" s="71"/>
    </row>
    <row r="380" spans="1:9" s="230" customFormat="1" x14ac:dyDescent="0.25">
      <c r="A380" s="71"/>
      <c r="B380" s="70"/>
      <c r="C380" s="70"/>
      <c r="D380" s="70"/>
      <c r="E380" s="261"/>
      <c r="H380" s="70"/>
      <c r="I380" s="71"/>
    </row>
    <row r="381" spans="1:9" s="230" customFormat="1" x14ac:dyDescent="0.25">
      <c r="A381" s="71"/>
      <c r="B381" s="70"/>
      <c r="C381" s="70"/>
      <c r="D381" s="70"/>
      <c r="E381" s="261"/>
      <c r="H381" s="70"/>
      <c r="I381" s="71"/>
    </row>
    <row r="382" spans="1:9" s="230" customFormat="1" x14ac:dyDescent="0.25">
      <c r="A382" s="71"/>
      <c r="B382" s="70"/>
      <c r="C382" s="70"/>
      <c r="D382" s="70"/>
      <c r="E382" s="261"/>
      <c r="H382" s="70"/>
      <c r="I382" s="71"/>
    </row>
    <row r="383" spans="1:9" s="230" customFormat="1" x14ac:dyDescent="0.25">
      <c r="A383" s="71"/>
      <c r="B383" s="70"/>
      <c r="C383" s="70"/>
      <c r="D383" s="70"/>
      <c r="E383" s="261"/>
      <c r="H383" s="70"/>
      <c r="I383" s="71"/>
    </row>
    <row r="384" spans="1:9" s="230" customFormat="1" x14ac:dyDescent="0.25">
      <c r="A384" s="71"/>
      <c r="B384" s="70"/>
      <c r="C384" s="70"/>
      <c r="D384" s="70"/>
      <c r="E384" s="261"/>
      <c r="H384" s="70"/>
      <c r="I384" s="71"/>
    </row>
    <row r="385" spans="1:9" s="230" customFormat="1" x14ac:dyDescent="0.25">
      <c r="A385" s="71"/>
      <c r="B385" s="70"/>
      <c r="C385" s="70"/>
      <c r="D385" s="70"/>
      <c r="E385" s="261"/>
      <c r="H385" s="70"/>
      <c r="I385" s="71"/>
    </row>
    <row r="386" spans="1:9" s="230" customFormat="1" x14ac:dyDescent="0.25">
      <c r="A386" s="71"/>
      <c r="B386" s="70"/>
      <c r="C386" s="70"/>
      <c r="D386" s="70"/>
      <c r="E386" s="261"/>
      <c r="H386" s="70"/>
      <c r="I386" s="71"/>
    </row>
    <row r="387" spans="1:9" s="230" customFormat="1" x14ac:dyDescent="0.25">
      <c r="A387" s="71"/>
      <c r="B387" s="70"/>
      <c r="C387" s="70"/>
      <c r="D387" s="70"/>
      <c r="E387" s="261"/>
      <c r="H387" s="70"/>
      <c r="I387" s="71"/>
    </row>
    <row r="388" spans="1:9" s="230" customFormat="1" x14ac:dyDescent="0.25">
      <c r="A388" s="71"/>
      <c r="B388" s="70"/>
      <c r="C388" s="70"/>
      <c r="D388" s="70"/>
      <c r="E388" s="261"/>
      <c r="H388" s="70"/>
      <c r="I388" s="71"/>
    </row>
    <row r="389" spans="1:9" s="230" customFormat="1" x14ac:dyDescent="0.25">
      <c r="A389" s="71"/>
      <c r="B389" s="70"/>
      <c r="C389" s="70"/>
      <c r="D389" s="70"/>
      <c r="E389" s="261"/>
      <c r="H389" s="70"/>
      <c r="I389" s="71"/>
    </row>
    <row r="390" spans="1:9" s="230" customFormat="1" x14ac:dyDescent="0.25">
      <c r="A390" s="71"/>
      <c r="B390" s="70"/>
      <c r="C390" s="70"/>
      <c r="D390" s="70"/>
      <c r="E390" s="261"/>
      <c r="H390" s="70"/>
      <c r="I390" s="71"/>
    </row>
    <row r="391" spans="1:9" s="230" customFormat="1" x14ac:dyDescent="0.25">
      <c r="A391" s="71"/>
      <c r="B391" s="70"/>
      <c r="C391" s="70"/>
      <c r="D391" s="70"/>
      <c r="E391" s="261"/>
      <c r="H391" s="70"/>
      <c r="I391" s="71"/>
    </row>
    <row r="392" spans="1:9" s="230" customFormat="1" x14ac:dyDescent="0.25">
      <c r="A392" s="71"/>
      <c r="B392" s="70"/>
      <c r="C392" s="70"/>
      <c r="D392" s="70"/>
      <c r="E392" s="261"/>
      <c r="H392" s="70"/>
      <c r="I392" s="71"/>
    </row>
    <row r="393" spans="1:9" s="230" customFormat="1" x14ac:dyDescent="0.25">
      <c r="A393" s="71"/>
      <c r="B393" s="70"/>
      <c r="C393" s="70"/>
      <c r="D393" s="70"/>
      <c r="E393" s="261"/>
      <c r="H393" s="70"/>
      <c r="I393" s="71"/>
    </row>
    <row r="394" spans="1:9" s="230" customFormat="1" x14ac:dyDescent="0.25">
      <c r="A394" s="71"/>
      <c r="B394" s="70"/>
      <c r="C394" s="70"/>
      <c r="D394" s="70"/>
      <c r="E394" s="261"/>
      <c r="H394" s="70"/>
      <c r="I394" s="71"/>
    </row>
    <row r="395" spans="1:9" s="230" customFormat="1" x14ac:dyDescent="0.25">
      <c r="A395" s="71"/>
      <c r="B395" s="70"/>
      <c r="C395" s="70"/>
      <c r="D395" s="70"/>
      <c r="E395" s="261"/>
      <c r="H395" s="70"/>
      <c r="I395" s="71"/>
    </row>
    <row r="396" spans="1:9" s="230" customFormat="1" x14ac:dyDescent="0.25">
      <c r="A396" s="71"/>
      <c r="B396" s="70"/>
      <c r="C396" s="70"/>
      <c r="D396" s="70"/>
      <c r="E396" s="261"/>
      <c r="H396" s="70"/>
      <c r="I396" s="71"/>
    </row>
    <row r="397" spans="1:9" s="230" customFormat="1" x14ac:dyDescent="0.25">
      <c r="A397" s="71"/>
      <c r="B397" s="70"/>
      <c r="C397" s="70"/>
      <c r="D397" s="70"/>
      <c r="E397" s="261"/>
      <c r="H397" s="70"/>
      <c r="I397" s="71"/>
    </row>
    <row r="398" spans="1:9" s="230" customFormat="1" x14ac:dyDescent="0.25">
      <c r="A398" s="71"/>
      <c r="B398" s="70"/>
      <c r="C398" s="70"/>
      <c r="D398" s="70"/>
      <c r="E398" s="261"/>
      <c r="H398" s="70"/>
      <c r="I398" s="71"/>
    </row>
    <row r="399" spans="1:9" s="230" customFormat="1" x14ac:dyDescent="0.25">
      <c r="A399" s="71"/>
      <c r="B399" s="70"/>
      <c r="C399" s="70"/>
      <c r="D399" s="70"/>
      <c r="E399" s="261"/>
      <c r="H399" s="70"/>
      <c r="I399" s="71"/>
    </row>
    <row r="400" spans="1:9" s="230" customFormat="1" x14ac:dyDescent="0.25">
      <c r="A400" s="71"/>
      <c r="B400" s="70"/>
      <c r="C400" s="70"/>
      <c r="D400" s="70"/>
      <c r="E400" s="261"/>
      <c r="H400" s="70"/>
      <c r="I400" s="71"/>
    </row>
    <row r="401" spans="1:9" s="230" customFormat="1" x14ac:dyDescent="0.25">
      <c r="A401" s="71"/>
      <c r="B401" s="70"/>
      <c r="C401" s="70"/>
      <c r="D401" s="70"/>
      <c r="E401" s="261"/>
      <c r="H401" s="70"/>
      <c r="I401" s="71"/>
    </row>
    <row r="402" spans="1:9" s="230" customFormat="1" x14ac:dyDescent="0.25">
      <c r="A402" s="71"/>
      <c r="B402" s="70"/>
      <c r="C402" s="70"/>
      <c r="D402" s="70"/>
      <c r="E402" s="261"/>
      <c r="H402" s="70"/>
      <c r="I402" s="71"/>
    </row>
    <row r="403" spans="1:9" s="230" customFormat="1" x14ac:dyDescent="0.25">
      <c r="A403" s="71"/>
      <c r="B403" s="70"/>
      <c r="C403" s="70"/>
      <c r="D403" s="70"/>
      <c r="E403" s="261"/>
      <c r="H403" s="70"/>
      <c r="I403" s="71"/>
    </row>
    <row r="404" spans="1:9" s="230" customFormat="1" x14ac:dyDescent="0.25">
      <c r="A404" s="71"/>
      <c r="B404" s="70"/>
      <c r="C404" s="70"/>
      <c r="D404" s="70"/>
      <c r="E404" s="261"/>
      <c r="H404" s="70"/>
      <c r="I404" s="71"/>
    </row>
    <row r="405" spans="1:9" s="230" customFormat="1" x14ac:dyDescent="0.25">
      <c r="A405" s="71"/>
      <c r="B405" s="70"/>
      <c r="C405" s="70"/>
      <c r="D405" s="70"/>
      <c r="E405" s="261"/>
      <c r="H405" s="70"/>
      <c r="I405" s="71"/>
    </row>
    <row r="406" spans="1:9" s="230" customFormat="1" x14ac:dyDescent="0.25">
      <c r="A406" s="71"/>
      <c r="B406" s="70"/>
      <c r="C406" s="70"/>
      <c r="D406" s="70"/>
      <c r="E406" s="261"/>
      <c r="H406" s="70"/>
      <c r="I406" s="71"/>
    </row>
    <row r="407" spans="1:9" s="230" customFormat="1" x14ac:dyDescent="0.25">
      <c r="A407" s="71"/>
      <c r="B407" s="70"/>
      <c r="C407" s="70"/>
      <c r="D407" s="70"/>
      <c r="E407" s="261"/>
      <c r="H407" s="70"/>
      <c r="I407" s="71"/>
    </row>
    <row r="408" spans="1:9" s="230" customFormat="1" x14ac:dyDescent="0.25">
      <c r="A408" s="71"/>
      <c r="B408" s="70"/>
      <c r="C408" s="70"/>
      <c r="D408" s="70"/>
      <c r="E408" s="261"/>
      <c r="H408" s="70"/>
      <c r="I408" s="71"/>
    </row>
    <row r="409" spans="1:9" s="230" customFormat="1" x14ac:dyDescent="0.25">
      <c r="A409" s="71"/>
      <c r="B409" s="70"/>
      <c r="C409" s="70"/>
      <c r="D409" s="70"/>
      <c r="E409" s="261"/>
      <c r="H409" s="70"/>
      <c r="I409" s="71"/>
    </row>
    <row r="410" spans="1:9" s="230" customFormat="1" x14ac:dyDescent="0.25">
      <c r="A410" s="71"/>
      <c r="B410" s="70"/>
      <c r="C410" s="70"/>
      <c r="D410" s="70"/>
      <c r="E410" s="261"/>
      <c r="H410" s="70"/>
      <c r="I410" s="71"/>
    </row>
    <row r="411" spans="1:9" s="230" customFormat="1" x14ac:dyDescent="0.25">
      <c r="A411" s="71"/>
      <c r="B411" s="70"/>
      <c r="C411" s="70"/>
      <c r="D411" s="70"/>
      <c r="E411" s="261"/>
      <c r="H411" s="70"/>
      <c r="I411" s="71"/>
    </row>
    <row r="412" spans="1:9" s="230" customFormat="1" x14ac:dyDescent="0.25">
      <c r="A412" s="71"/>
      <c r="B412" s="70"/>
      <c r="C412" s="70"/>
      <c r="D412" s="70"/>
      <c r="E412" s="261"/>
      <c r="H412" s="70"/>
      <c r="I412" s="71"/>
    </row>
    <row r="413" spans="1:9" s="230" customFormat="1" x14ac:dyDescent="0.25">
      <c r="A413" s="71"/>
      <c r="B413" s="70"/>
      <c r="C413" s="70"/>
      <c r="D413" s="70"/>
      <c r="E413" s="261"/>
      <c r="H413" s="70"/>
      <c r="I413" s="71"/>
    </row>
    <row r="414" spans="1:9" s="230" customFormat="1" x14ac:dyDescent="0.25">
      <c r="A414" s="71"/>
      <c r="B414" s="70"/>
      <c r="C414" s="70"/>
      <c r="D414" s="70"/>
      <c r="E414" s="261"/>
      <c r="H414" s="70"/>
      <c r="I414" s="71"/>
    </row>
    <row r="415" spans="1:9" s="230" customFormat="1" x14ac:dyDescent="0.25">
      <c r="A415" s="71"/>
      <c r="B415" s="70"/>
      <c r="C415" s="70"/>
      <c r="D415" s="70"/>
      <c r="E415" s="261"/>
      <c r="H415" s="70"/>
      <c r="I415" s="71"/>
    </row>
  </sheetData>
  <mergeCells count="15">
    <mergeCell ref="H12:H16"/>
    <mergeCell ref="I12:I16"/>
    <mergeCell ref="H90:H94"/>
    <mergeCell ref="I90:I94"/>
    <mergeCell ref="H169:H180"/>
    <mergeCell ref="I169:I180"/>
    <mergeCell ref="B90:F90"/>
    <mergeCell ref="B169:F169"/>
    <mergeCell ref="B243:F243"/>
    <mergeCell ref="B2:F2"/>
    <mergeCell ref="C3:D3"/>
    <mergeCell ref="E3:F3"/>
    <mergeCell ref="C4:D4"/>
    <mergeCell ref="E4:F4"/>
    <mergeCell ref="B12:F12"/>
  </mergeCells>
  <pageMargins left="0.511811024" right="0.511811024" top="0.78740157499999996" bottom="0.78740157499999996" header="0.31496062000000002" footer="0.31496062000000002"/>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4">
    <tabColor rgb="FF2D70C9"/>
  </sheetPr>
  <dimension ref="A1:AA330"/>
  <sheetViews>
    <sheetView showGridLines="0" workbookViewId="0">
      <selection activeCell="D26" sqref="D26"/>
    </sheetView>
  </sheetViews>
  <sheetFormatPr defaultColWidth="9.140625" defaultRowHeight="15" outlineLevelRow="1" x14ac:dyDescent="0.25"/>
  <cols>
    <col min="1" max="1" width="5.7109375" style="42" customWidth="1"/>
    <col min="2" max="2" width="35.7109375" style="42" customWidth="1"/>
    <col min="3" max="3" width="20.7109375" style="42" customWidth="1"/>
    <col min="4" max="4" width="15.7109375" style="18" customWidth="1"/>
    <col min="5" max="5" width="16.7109375" style="42" customWidth="1"/>
    <col min="6" max="6" width="20.7109375" style="42" customWidth="1"/>
    <col min="7" max="7" width="21.28515625" style="42" customWidth="1"/>
    <col min="8" max="8" width="9.7109375" style="42" customWidth="1"/>
    <col min="9" max="9" width="11.85546875" style="42" customWidth="1"/>
    <col min="10" max="10" width="11.42578125" style="42" customWidth="1"/>
    <col min="11" max="11" width="35.7109375" style="42" customWidth="1"/>
    <col min="12" max="12" width="20.7109375" style="42" customWidth="1"/>
    <col min="13" max="13" width="15.7109375" style="42" customWidth="1"/>
    <col min="14" max="14" width="16.7109375" style="42" customWidth="1"/>
    <col min="15" max="15" width="20.7109375" style="42" customWidth="1"/>
    <col min="16" max="16" width="8.7109375" style="42" customWidth="1"/>
    <col min="17" max="17" width="9.7109375" style="42" customWidth="1"/>
    <col min="18" max="16384" width="9.140625" style="42"/>
  </cols>
  <sheetData>
    <row r="1" spans="1:14" ht="90" customHeight="1" x14ac:dyDescent="0.25">
      <c r="A1" s="355" t="s">
        <v>602</v>
      </c>
      <c r="B1" s="62"/>
      <c r="C1" s="62"/>
      <c r="D1" s="62"/>
      <c r="E1" s="62"/>
      <c r="F1" s="62"/>
      <c r="G1" s="62"/>
      <c r="H1" s="62"/>
    </row>
    <row r="2" spans="1:14" s="52" customFormat="1" ht="25.15" customHeight="1" x14ac:dyDescent="0.25">
      <c r="B2" s="52" t="s">
        <v>955</v>
      </c>
    </row>
    <row r="3" spans="1:14" s="108" customFormat="1" x14ac:dyDescent="0.25">
      <c r="C3" s="103"/>
    </row>
    <row r="4" spans="1:14" s="85" customFormat="1" ht="15.75" x14ac:dyDescent="0.25">
      <c r="B4" s="181" t="s">
        <v>238</v>
      </c>
      <c r="C4" s="726" t="s">
        <v>538</v>
      </c>
      <c r="D4" s="727"/>
      <c r="E4" s="727"/>
      <c r="F4" s="727"/>
      <c r="G4" s="727"/>
      <c r="H4" s="728"/>
      <c r="M4" s="108"/>
      <c r="N4" s="108"/>
    </row>
    <row r="5" spans="1:14" s="85" customFormat="1" ht="6" customHeight="1" x14ac:dyDescent="0.25">
      <c r="B5" s="182"/>
      <c r="C5" s="114"/>
      <c r="D5" s="114"/>
      <c r="E5" s="114"/>
      <c r="F5" s="114"/>
      <c r="G5" s="114"/>
      <c r="H5" s="114"/>
      <c r="M5" s="108"/>
      <c r="N5" s="108"/>
    </row>
    <row r="6" spans="1:14" s="85" customFormat="1" ht="15.75" x14ac:dyDescent="0.25">
      <c r="B6" s="181" t="s">
        <v>342</v>
      </c>
      <c r="C6" s="726" t="s">
        <v>343</v>
      </c>
      <c r="D6" s="727"/>
      <c r="E6" s="727"/>
      <c r="F6" s="727"/>
      <c r="G6" s="727"/>
      <c r="H6" s="728"/>
      <c r="M6" s="108"/>
      <c r="N6" s="108"/>
    </row>
    <row r="7" spans="1:14" s="85" customFormat="1" ht="6" customHeight="1" x14ac:dyDescent="0.25">
      <c r="B7" s="181"/>
      <c r="C7" s="114"/>
      <c r="D7" s="114"/>
      <c r="E7" s="114"/>
      <c r="F7" s="114"/>
      <c r="G7" s="114"/>
      <c r="H7" s="114"/>
      <c r="M7" s="108"/>
      <c r="N7" s="108"/>
    </row>
    <row r="8" spans="1:14" s="85" customFormat="1" ht="15.75" x14ac:dyDescent="0.25">
      <c r="B8" s="181" t="s">
        <v>239</v>
      </c>
      <c r="C8" s="726"/>
      <c r="D8" s="727"/>
      <c r="E8" s="727"/>
      <c r="F8" s="727"/>
      <c r="G8" s="727"/>
      <c r="H8" s="728"/>
      <c r="M8" s="108"/>
      <c r="N8" s="108"/>
    </row>
    <row r="9" spans="1:14" s="85" customFormat="1" ht="6" customHeight="1" x14ac:dyDescent="0.25">
      <c r="B9" s="182"/>
      <c r="C9" s="114"/>
      <c r="D9" s="114"/>
      <c r="E9" s="115"/>
      <c r="F9" s="115"/>
      <c r="G9" s="115"/>
      <c r="H9" s="115"/>
      <c r="M9" s="108"/>
      <c r="N9" s="108"/>
    </row>
    <row r="10" spans="1:14" s="85" customFormat="1" ht="15.75" x14ac:dyDescent="0.25">
      <c r="B10" s="181" t="s">
        <v>240</v>
      </c>
      <c r="C10" s="726" t="s">
        <v>344</v>
      </c>
      <c r="D10" s="728"/>
      <c r="E10" s="116"/>
      <c r="F10" s="108"/>
      <c r="G10" s="108"/>
      <c r="H10" s="108"/>
      <c r="M10" s="108"/>
      <c r="N10" s="108"/>
    </row>
    <row r="11" spans="1:14" s="108" customFormat="1" ht="15.75" x14ac:dyDescent="0.25">
      <c r="C11" s="112"/>
      <c r="I11" s="85"/>
      <c r="J11" s="85"/>
    </row>
    <row r="12" spans="1:14" ht="6" customHeight="1" x14ac:dyDescent="0.25">
      <c r="A12" s="108"/>
      <c r="B12" s="151"/>
      <c r="C12" s="99"/>
      <c r="D12" s="99"/>
      <c r="E12" s="33"/>
      <c r="F12" s="33"/>
      <c r="G12" s="33"/>
      <c r="H12" s="33"/>
      <c r="I12" s="85"/>
      <c r="J12" s="85"/>
    </row>
    <row r="13" spans="1:14" ht="17.25" x14ac:dyDescent="0.25">
      <c r="A13" s="108"/>
      <c r="B13" s="43"/>
      <c r="C13" s="729" t="s">
        <v>125</v>
      </c>
      <c r="D13" s="729"/>
      <c r="E13" s="33"/>
      <c r="F13" s="33"/>
      <c r="G13" s="33"/>
      <c r="H13" s="33"/>
      <c r="I13" s="85"/>
      <c r="J13" s="85"/>
    </row>
    <row r="14" spans="1:14" ht="6" customHeight="1" x14ac:dyDescent="0.25">
      <c r="A14" s="108"/>
      <c r="B14" s="43"/>
      <c r="C14" s="82"/>
      <c r="D14" s="82"/>
      <c r="E14" s="33"/>
      <c r="F14" s="33"/>
      <c r="G14" s="33"/>
      <c r="H14" s="33"/>
      <c r="I14" s="85"/>
      <c r="J14" s="85"/>
    </row>
    <row r="15" spans="1:14" ht="31.5" x14ac:dyDescent="0.25">
      <c r="A15" s="108"/>
      <c r="B15" s="534" t="s">
        <v>829</v>
      </c>
      <c r="C15" s="155">
        <f>SUM(C17:C20)</f>
        <v>0.43899999999999995</v>
      </c>
      <c r="D15" s="736" t="s">
        <v>828</v>
      </c>
      <c r="E15" s="736"/>
      <c r="F15" s="736"/>
      <c r="G15" s="155">
        <f>G18-C15</f>
        <v>86.961000000000013</v>
      </c>
      <c r="H15" s="33"/>
      <c r="I15" s="85"/>
      <c r="J15" s="85"/>
    </row>
    <row r="16" spans="1:14" ht="6" customHeight="1" x14ac:dyDescent="0.25">
      <c r="A16" s="108"/>
      <c r="B16" s="152"/>
      <c r="C16" s="82"/>
      <c r="D16" s="82"/>
      <c r="E16" s="33"/>
      <c r="F16" s="40"/>
      <c r="G16" s="33"/>
      <c r="H16" s="33"/>
      <c r="I16" s="85"/>
      <c r="J16" s="85"/>
    </row>
    <row r="17" spans="1:27" ht="17.25" x14ac:dyDescent="0.25">
      <c r="A17" s="108"/>
      <c r="B17" s="228" t="s">
        <v>159</v>
      </c>
      <c r="C17" s="142">
        <f>IFERROR(IF(C13="Etanol Anidro",_E1GM!C5,IF(C13="Etanol Hidratado",_E1GM!E5,"")),0)</f>
        <v>0</v>
      </c>
      <c r="D17" s="82"/>
      <c r="E17" s="33"/>
      <c r="F17" s="153"/>
      <c r="G17" s="153" t="s">
        <v>865</v>
      </c>
      <c r="H17" s="33"/>
      <c r="I17" s="85"/>
      <c r="J17" s="85"/>
    </row>
    <row r="18" spans="1:27" ht="22.5" customHeight="1" x14ac:dyDescent="0.25">
      <c r="A18" s="108"/>
      <c r="B18" s="228" t="s">
        <v>160</v>
      </c>
      <c r="C18" s="142">
        <f>IFERROR(IF(C13="Etanol Anidro",_E1GM!C6,IF(C13="Etanol Hidratado",_E1GM!E6,"")),0)</f>
        <v>0</v>
      </c>
      <c r="D18" s="82"/>
      <c r="E18" s="33"/>
      <c r="F18" s="153"/>
      <c r="G18" s="580">
        <f>'Dados auxiliares'!F166</f>
        <v>87.4</v>
      </c>
      <c r="H18" s="33"/>
      <c r="I18" s="85"/>
      <c r="J18" s="85"/>
    </row>
    <row r="19" spans="1:27" ht="17.25" x14ac:dyDescent="0.25">
      <c r="A19" s="108"/>
      <c r="B19" s="228" t="s">
        <v>161</v>
      </c>
      <c r="C19" s="142">
        <f>IFERROR(IF(C13="Etanol Anidro",_E1GM!C7,IF(C13="Etanol Hidratado",_E1GM!E7,"")),0)</f>
        <v>0</v>
      </c>
      <c r="D19" s="82"/>
      <c r="E19" s="33"/>
      <c r="F19" s="153"/>
      <c r="G19" s="153" t="s">
        <v>539</v>
      </c>
      <c r="H19" s="33"/>
      <c r="I19" s="85"/>
      <c r="J19" s="85"/>
    </row>
    <row r="20" spans="1:27" ht="17.25" x14ac:dyDescent="0.25">
      <c r="A20" s="108"/>
      <c r="B20" s="228" t="s">
        <v>189</v>
      </c>
      <c r="C20" s="142">
        <f>IFERROR(IF(C13="Etanol Anidro",_E1GM!C8,IF(C13="Etanol Hidratado",_E1GM!E8,"")),0)</f>
        <v>0.43899999999999995</v>
      </c>
      <c r="D20" s="82"/>
      <c r="E20" s="33"/>
      <c r="F20" s="153"/>
      <c r="G20" s="154">
        <f>(G18-C15)/G18</f>
        <v>0.9949771167048056</v>
      </c>
      <c r="H20" s="33"/>
      <c r="I20" s="85"/>
      <c r="J20" s="85"/>
    </row>
    <row r="21" spans="1:27" ht="6" customHeight="1" x14ac:dyDescent="0.25">
      <c r="A21" s="108"/>
      <c r="B21" s="228"/>
      <c r="C21" s="121"/>
      <c r="D21" s="82"/>
      <c r="E21" s="33"/>
      <c r="F21" s="123"/>
      <c r="G21" s="33"/>
      <c r="H21" s="33"/>
      <c r="I21" s="85"/>
      <c r="J21" s="85"/>
      <c r="K21" s="74"/>
      <c r="L21" s="74"/>
      <c r="M21" s="74"/>
      <c r="N21" s="74"/>
      <c r="O21" s="74"/>
      <c r="P21" s="74"/>
      <c r="Q21" s="74"/>
    </row>
    <row r="22" spans="1:27" x14ac:dyDescent="0.25">
      <c r="A22" s="108"/>
      <c r="B22" s="108"/>
      <c r="C22" s="108"/>
      <c r="D22" s="108"/>
      <c r="E22" s="108"/>
      <c r="F22" s="108"/>
      <c r="G22" s="108"/>
      <c r="H22" s="108"/>
      <c r="I22" s="108"/>
      <c r="J22" s="108"/>
      <c r="K22" s="74"/>
      <c r="L22" s="74"/>
      <c r="M22" s="74"/>
      <c r="N22" s="74"/>
      <c r="O22" s="74"/>
      <c r="P22" s="74"/>
      <c r="Q22" s="74"/>
    </row>
    <row r="23" spans="1:27" ht="18.75" x14ac:dyDescent="0.25">
      <c r="A23" s="108"/>
      <c r="B23" s="732" t="s">
        <v>951</v>
      </c>
      <c r="C23" s="732"/>
      <c r="D23" s="732"/>
      <c r="E23" s="732"/>
      <c r="F23" s="732"/>
      <c r="G23" s="732"/>
      <c r="H23" s="732"/>
      <c r="I23" s="85"/>
      <c r="J23" s="85"/>
      <c r="K23" s="563"/>
      <c r="L23" s="563"/>
      <c r="M23" s="563"/>
      <c r="N23" s="563"/>
      <c r="O23" s="563"/>
      <c r="P23" s="563"/>
      <c r="Q23" s="563"/>
    </row>
    <row r="24" spans="1:27" s="652" customFormat="1" ht="18.75" x14ac:dyDescent="0.25">
      <c r="A24" s="108"/>
      <c r="B24" s="725" t="s">
        <v>276</v>
      </c>
      <c r="C24" s="725"/>
      <c r="D24" s="725"/>
      <c r="E24" s="725"/>
      <c r="F24" s="725"/>
      <c r="G24" s="725"/>
      <c r="H24" s="725"/>
      <c r="I24" s="649"/>
      <c r="J24" s="649"/>
      <c r="K24" s="651"/>
      <c r="L24" s="651"/>
      <c r="M24" s="651"/>
      <c r="N24" s="651"/>
      <c r="O24" s="651"/>
      <c r="P24" s="651"/>
      <c r="Q24" s="651"/>
    </row>
    <row r="25" spans="1:27" ht="15.75" hidden="1" x14ac:dyDescent="0.25">
      <c r="A25" s="108"/>
      <c r="B25" s="24"/>
      <c r="C25" s="91" t="s">
        <v>348</v>
      </c>
      <c r="D25" s="629" t="s">
        <v>127</v>
      </c>
      <c r="E25" s="27"/>
      <c r="F25" s="27"/>
      <c r="G25" s="27"/>
      <c r="H25" s="73"/>
      <c r="I25" s="85"/>
      <c r="J25" s="85"/>
      <c r="K25" s="130"/>
      <c r="L25" s="130"/>
      <c r="M25" s="130"/>
      <c r="N25" s="130"/>
      <c r="O25" s="130"/>
      <c r="P25" s="130"/>
      <c r="Q25" s="130"/>
    </row>
    <row r="26" spans="1:27" ht="15.75" x14ac:dyDescent="0.25">
      <c r="A26" s="108"/>
      <c r="B26" s="24"/>
      <c r="C26" s="91" t="s">
        <v>355</v>
      </c>
      <c r="D26" s="644"/>
      <c r="E26" s="92" t="s">
        <v>36</v>
      </c>
      <c r="F26" s="225"/>
      <c r="G26" s="89"/>
      <c r="H26" s="73"/>
      <c r="I26" s="85"/>
      <c r="J26" s="85"/>
      <c r="K26" s="130"/>
      <c r="L26" s="130"/>
      <c r="M26" s="130"/>
      <c r="N26" s="130"/>
      <c r="O26" s="130"/>
      <c r="P26" s="130"/>
      <c r="Q26" s="130"/>
      <c r="V26" s="130"/>
      <c r="W26" s="744"/>
      <c r="X26" s="744"/>
      <c r="Y26" s="358"/>
      <c r="Z26" s="358"/>
      <c r="AA26" s="358"/>
    </row>
    <row r="27" spans="1:27" ht="6" customHeight="1" x14ac:dyDescent="0.25">
      <c r="A27" s="108"/>
      <c r="B27" s="36"/>
      <c r="C27" s="41"/>
      <c r="D27" s="41"/>
      <c r="E27" s="36"/>
      <c r="F27" s="63"/>
      <c r="G27" s="37"/>
      <c r="H27" s="41"/>
      <c r="I27" s="85"/>
      <c r="J27" s="85"/>
      <c r="K27" s="130"/>
      <c r="L27" s="130"/>
      <c r="M27" s="130"/>
      <c r="N27" s="130"/>
      <c r="O27" s="130"/>
      <c r="P27" s="130"/>
      <c r="Q27" s="130"/>
      <c r="V27" s="130"/>
      <c r="W27" s="131"/>
      <c r="X27" s="131"/>
      <c r="Y27" s="358"/>
      <c r="Z27" s="358"/>
      <c r="AA27" s="358"/>
    </row>
    <row r="28" spans="1:27" ht="15.75" x14ac:dyDescent="0.25">
      <c r="A28" s="108"/>
      <c r="B28" s="24"/>
      <c r="C28" s="91" t="s">
        <v>604</v>
      </c>
      <c r="D28" s="644"/>
      <c r="E28" s="92" t="s">
        <v>603</v>
      </c>
      <c r="F28" s="311" t="s">
        <v>134</v>
      </c>
      <c r="G28" s="670"/>
      <c r="H28" s="89"/>
      <c r="I28" s="85"/>
      <c r="J28" s="85"/>
      <c r="K28" s="130"/>
      <c r="L28" s="130"/>
      <c r="M28" s="130"/>
      <c r="N28" s="130"/>
      <c r="O28" s="130"/>
      <c r="P28" s="130"/>
      <c r="Q28" s="130"/>
    </row>
    <row r="29" spans="1:27" ht="30" customHeight="1" x14ac:dyDescent="0.25">
      <c r="A29" s="108"/>
      <c r="B29" s="742" t="s">
        <v>996</v>
      </c>
      <c r="C29" s="743"/>
      <c r="D29" s="644"/>
      <c r="E29" s="685" t="s">
        <v>603</v>
      </c>
      <c r="F29" s="686"/>
      <c r="G29" s="687"/>
      <c r="H29" s="688"/>
      <c r="I29" s="85"/>
      <c r="J29" s="85"/>
      <c r="K29" s="130"/>
      <c r="L29" s="130"/>
      <c r="M29" s="130"/>
      <c r="N29" s="130"/>
      <c r="O29" s="130"/>
      <c r="P29" s="130"/>
      <c r="Q29" s="130"/>
    </row>
    <row r="30" spans="1:27" ht="15.75" x14ac:dyDescent="0.25">
      <c r="A30" s="108"/>
      <c r="B30" s="24"/>
      <c r="C30" s="91" t="s">
        <v>429</v>
      </c>
      <c r="D30" s="644"/>
      <c r="E30" s="92" t="s">
        <v>354</v>
      </c>
      <c r="F30" s="225"/>
      <c r="G30" s="89"/>
      <c r="H30" s="354"/>
      <c r="I30" s="85"/>
      <c r="J30" s="85"/>
      <c r="K30" s="130"/>
      <c r="L30" s="130"/>
      <c r="M30" s="130"/>
      <c r="N30" s="130"/>
      <c r="O30" s="130"/>
      <c r="P30" s="130"/>
      <c r="Q30" s="130"/>
    </row>
    <row r="31" spans="1:27" ht="6" customHeight="1" x14ac:dyDescent="0.25">
      <c r="A31" s="108"/>
      <c r="B31" s="96"/>
      <c r="C31" s="96"/>
      <c r="D31" s="96"/>
      <c r="E31" s="96"/>
      <c r="F31" s="96"/>
      <c r="G31" s="96"/>
      <c r="H31" s="96"/>
      <c r="I31" s="85"/>
      <c r="J31" s="85"/>
      <c r="K31" s="130"/>
      <c r="L31" s="130"/>
      <c r="M31" s="130"/>
      <c r="N31" s="130"/>
      <c r="O31" s="130"/>
      <c r="P31" s="130"/>
      <c r="Q31" s="130"/>
    </row>
    <row r="32" spans="1:27" ht="15.75" x14ac:dyDescent="0.25">
      <c r="A32" s="108"/>
      <c r="B32" s="723" t="s">
        <v>338</v>
      </c>
      <c r="C32" s="723"/>
      <c r="D32" s="723"/>
      <c r="E32" s="723"/>
      <c r="F32" s="723"/>
      <c r="G32" s="723"/>
      <c r="H32" s="723"/>
      <c r="I32" s="85"/>
      <c r="J32" s="85"/>
      <c r="K32" s="562"/>
      <c r="L32" s="562"/>
      <c r="M32" s="562"/>
      <c r="N32" s="562"/>
      <c r="O32" s="562"/>
      <c r="P32" s="562"/>
      <c r="Q32" s="562"/>
    </row>
    <row r="33" spans="1:17" x14ac:dyDescent="0.25">
      <c r="A33" s="108"/>
      <c r="B33" s="97"/>
      <c r="C33" s="93" t="s">
        <v>164</v>
      </c>
      <c r="D33" s="644"/>
      <c r="E33" s="92" t="s">
        <v>605</v>
      </c>
      <c r="F33" s="225"/>
      <c r="G33" s="89"/>
      <c r="H33" s="73"/>
      <c r="I33" s="85"/>
      <c r="J33" s="85"/>
      <c r="K33" s="553"/>
      <c r="L33" s="554"/>
      <c r="M33" s="566"/>
      <c r="N33" s="556"/>
      <c r="O33" s="564"/>
      <c r="P33" s="565"/>
      <c r="Q33" s="108"/>
    </row>
    <row r="34" spans="1:17" x14ac:dyDescent="0.25">
      <c r="A34" s="108"/>
      <c r="B34" s="97"/>
      <c r="C34" s="93" t="s">
        <v>163</v>
      </c>
      <c r="D34" s="644"/>
      <c r="E34" s="92" t="s">
        <v>605</v>
      </c>
      <c r="F34" s="225"/>
      <c r="G34" s="89"/>
      <c r="H34" s="73"/>
      <c r="I34" s="85"/>
      <c r="J34" s="85"/>
      <c r="K34" s="553"/>
      <c r="L34" s="554"/>
      <c r="M34" s="566"/>
      <c r="N34" s="556"/>
      <c r="O34" s="564"/>
      <c r="P34" s="565"/>
      <c r="Q34" s="108"/>
    </row>
    <row r="35" spans="1:17" x14ac:dyDescent="0.25">
      <c r="A35" s="108"/>
      <c r="B35" s="97"/>
      <c r="C35" s="93" t="s">
        <v>28</v>
      </c>
      <c r="D35" s="644"/>
      <c r="E35" s="92" t="s">
        <v>605</v>
      </c>
      <c r="F35" s="225"/>
      <c r="G35" s="89"/>
      <c r="H35" s="73"/>
      <c r="I35" s="85"/>
      <c r="J35" s="85"/>
      <c r="K35" s="553"/>
      <c r="L35" s="554"/>
      <c r="M35" s="566"/>
      <c r="N35" s="556"/>
      <c r="O35" s="564"/>
      <c r="P35" s="565"/>
      <c r="Q35" s="108"/>
    </row>
    <row r="36" spans="1:17" ht="7.15" customHeight="1" x14ac:dyDescent="0.25">
      <c r="A36" s="108"/>
      <c r="B36" s="96"/>
      <c r="C36" s="96"/>
      <c r="D36" s="96"/>
      <c r="E36" s="96"/>
      <c r="F36" s="96"/>
      <c r="G36" s="96"/>
      <c r="H36" s="96"/>
      <c r="I36" s="85"/>
      <c r="J36" s="85"/>
      <c r="K36" s="138"/>
      <c r="L36" s="138"/>
      <c r="M36" s="138"/>
      <c r="N36" s="138"/>
      <c r="O36" s="138"/>
      <c r="P36" s="138"/>
      <c r="Q36" s="138"/>
    </row>
    <row r="37" spans="1:17" ht="15.75" x14ac:dyDescent="0.25">
      <c r="A37" s="108"/>
      <c r="B37" s="723" t="s">
        <v>341</v>
      </c>
      <c r="C37" s="723"/>
      <c r="D37" s="723"/>
      <c r="E37" s="723"/>
      <c r="F37" s="723"/>
      <c r="G37" s="723"/>
      <c r="H37" s="723"/>
      <c r="I37" s="85"/>
      <c r="J37" s="85"/>
      <c r="K37" s="562"/>
      <c r="L37" s="562"/>
      <c r="M37" s="562"/>
      <c r="N37" s="562"/>
      <c r="O37" s="562"/>
      <c r="P37" s="562"/>
      <c r="Q37" s="562"/>
    </row>
    <row r="38" spans="1:17" x14ac:dyDescent="0.25">
      <c r="A38" s="108"/>
      <c r="B38" s="93"/>
      <c r="C38" s="93" t="s">
        <v>341</v>
      </c>
      <c r="D38" s="644"/>
      <c r="E38" s="92" t="s">
        <v>605</v>
      </c>
      <c r="F38" s="27"/>
      <c r="G38" s="73"/>
      <c r="H38" s="73"/>
      <c r="I38" s="85"/>
      <c r="J38" s="85"/>
      <c r="K38" s="554"/>
      <c r="L38" s="554"/>
      <c r="M38" s="567"/>
      <c r="N38" s="556"/>
      <c r="O38" s="126"/>
      <c r="P38" s="108"/>
      <c r="Q38" s="108"/>
    </row>
    <row r="39" spans="1:17" ht="7.15" customHeight="1" x14ac:dyDescent="0.25">
      <c r="A39" s="108"/>
      <c r="B39" s="96"/>
      <c r="C39" s="96"/>
      <c r="D39" s="96"/>
      <c r="E39" s="96"/>
      <c r="F39" s="96"/>
      <c r="G39" s="96"/>
      <c r="H39" s="96"/>
      <c r="I39" s="85"/>
      <c r="J39" s="85"/>
      <c r="K39" s="138"/>
      <c r="L39" s="138"/>
      <c r="M39" s="138"/>
      <c r="N39" s="138"/>
      <c r="O39" s="138"/>
      <c r="P39" s="138"/>
      <c r="Q39" s="138"/>
    </row>
    <row r="40" spans="1:17" ht="15.75" x14ac:dyDescent="0.25">
      <c r="A40" s="108"/>
      <c r="B40" s="723" t="s">
        <v>339</v>
      </c>
      <c r="C40" s="723"/>
      <c r="D40" s="723"/>
      <c r="E40" s="723"/>
      <c r="F40" s="723"/>
      <c r="G40" s="723"/>
      <c r="H40" s="723"/>
      <c r="I40" s="85"/>
      <c r="J40" s="85"/>
      <c r="K40" s="562"/>
      <c r="L40" s="562"/>
      <c r="M40" s="562"/>
      <c r="N40" s="562"/>
      <c r="O40" s="562"/>
      <c r="P40" s="562"/>
      <c r="Q40" s="562"/>
    </row>
    <row r="41" spans="1:17" outlineLevel="1" x14ac:dyDescent="0.25">
      <c r="A41" s="108"/>
      <c r="B41" s="176"/>
      <c r="C41" s="179" t="s">
        <v>153</v>
      </c>
      <c r="D41" s="644"/>
      <c r="E41" s="94" t="s">
        <v>606</v>
      </c>
      <c r="F41" s="356"/>
      <c r="G41" s="357"/>
      <c r="H41" s="357"/>
      <c r="I41" s="85"/>
      <c r="J41" s="85"/>
      <c r="K41" s="4"/>
      <c r="L41" s="555"/>
      <c r="M41" s="568"/>
      <c r="N41" s="556"/>
      <c r="O41" s="557"/>
      <c r="P41" s="74"/>
      <c r="Q41" s="74"/>
    </row>
    <row r="42" spans="1:17" outlineLevel="1" x14ac:dyDescent="0.25">
      <c r="A42" s="108"/>
      <c r="B42" s="176"/>
      <c r="C42" s="179" t="s">
        <v>463</v>
      </c>
      <c r="D42" s="644"/>
      <c r="E42" s="94" t="s">
        <v>606</v>
      </c>
      <c r="F42" s="356"/>
      <c r="G42" s="357"/>
      <c r="H42" s="357"/>
      <c r="I42" s="85"/>
      <c r="J42" s="85"/>
      <c r="K42" s="4"/>
      <c r="L42" s="555"/>
      <c r="M42" s="568"/>
      <c r="N42" s="556"/>
      <c r="O42" s="557"/>
      <c r="P42" s="74"/>
      <c r="Q42" s="74"/>
    </row>
    <row r="43" spans="1:17" outlineLevel="1" x14ac:dyDescent="0.25">
      <c r="A43" s="108"/>
      <c r="B43" s="176"/>
      <c r="C43" s="179" t="s">
        <v>463</v>
      </c>
      <c r="D43" s="644"/>
      <c r="E43" s="94" t="s">
        <v>607</v>
      </c>
      <c r="F43" s="356"/>
      <c r="G43" s="357"/>
      <c r="H43" s="357"/>
      <c r="I43" s="85"/>
      <c r="J43" s="85"/>
      <c r="K43" s="4"/>
      <c r="L43" s="555"/>
      <c r="M43" s="568"/>
      <c r="N43" s="556"/>
      <c r="O43" s="557"/>
      <c r="P43" s="74"/>
      <c r="Q43" s="74"/>
    </row>
    <row r="44" spans="1:17" outlineLevel="1" x14ac:dyDescent="0.25">
      <c r="A44" s="108"/>
      <c r="B44" s="176"/>
      <c r="C44" s="179" t="s">
        <v>464</v>
      </c>
      <c r="D44" s="644"/>
      <c r="E44" s="94" t="s">
        <v>606</v>
      </c>
      <c r="F44" s="356"/>
      <c r="G44" s="357"/>
      <c r="H44" s="357"/>
      <c r="I44" s="85"/>
      <c r="J44" s="85"/>
      <c r="K44" s="4"/>
      <c r="L44" s="555"/>
      <c r="M44" s="568"/>
      <c r="N44" s="556"/>
      <c r="O44" s="557"/>
      <c r="P44" s="74"/>
      <c r="Q44" s="74"/>
    </row>
    <row r="45" spans="1:17" outlineLevel="1" x14ac:dyDescent="0.25">
      <c r="A45" s="108"/>
      <c r="B45" s="176"/>
      <c r="C45" s="179" t="s">
        <v>464</v>
      </c>
      <c r="D45" s="644"/>
      <c r="E45" s="94" t="s">
        <v>607</v>
      </c>
      <c r="F45" s="356"/>
      <c r="G45" s="357"/>
      <c r="H45" s="357"/>
      <c r="I45" s="85"/>
      <c r="J45" s="85"/>
      <c r="K45" s="4"/>
      <c r="L45" s="555"/>
      <c r="M45" s="568"/>
      <c r="N45" s="556"/>
      <c r="O45" s="557"/>
      <c r="P45" s="74"/>
      <c r="Q45" s="74"/>
    </row>
    <row r="46" spans="1:17" outlineLevel="1" x14ac:dyDescent="0.25">
      <c r="A46" s="108"/>
      <c r="B46" s="176"/>
      <c r="C46" s="179" t="s">
        <v>465</v>
      </c>
      <c r="D46" s="644"/>
      <c r="E46" s="94" t="s">
        <v>606</v>
      </c>
      <c r="F46" s="356"/>
      <c r="G46" s="357"/>
      <c r="H46" s="357"/>
      <c r="I46" s="85"/>
      <c r="J46" s="85"/>
      <c r="K46" s="4"/>
      <c r="L46" s="555"/>
      <c r="M46" s="568"/>
      <c r="N46" s="556"/>
      <c r="O46" s="557"/>
      <c r="P46" s="74"/>
      <c r="Q46" s="74"/>
    </row>
    <row r="47" spans="1:17" outlineLevel="1" x14ac:dyDescent="0.25">
      <c r="A47" s="108"/>
      <c r="B47" s="176"/>
      <c r="C47" s="179" t="s">
        <v>457</v>
      </c>
      <c r="D47" s="644"/>
      <c r="E47" s="94" t="s">
        <v>606</v>
      </c>
      <c r="F47" s="356"/>
      <c r="G47" s="357"/>
      <c r="H47" s="357"/>
      <c r="I47" s="85"/>
      <c r="J47" s="85"/>
      <c r="K47" s="4"/>
      <c r="L47" s="555"/>
      <c r="M47" s="568"/>
      <c r="N47" s="556"/>
      <c r="O47" s="557"/>
      <c r="P47" s="74"/>
      <c r="Q47" s="74"/>
    </row>
    <row r="48" spans="1:17" outlineLevel="1" x14ac:dyDescent="0.25">
      <c r="A48" s="108"/>
      <c r="B48" s="176"/>
      <c r="C48" s="179" t="s">
        <v>133</v>
      </c>
      <c r="D48" s="644"/>
      <c r="E48" s="94" t="s">
        <v>606</v>
      </c>
      <c r="F48" s="58"/>
      <c r="G48" s="357"/>
      <c r="H48" s="357"/>
      <c r="I48" s="85"/>
      <c r="J48" s="85"/>
      <c r="K48" s="4"/>
      <c r="L48" s="555"/>
      <c r="M48" s="568"/>
      <c r="N48" s="556"/>
      <c r="O48" s="76"/>
      <c r="P48" s="74"/>
      <c r="Q48" s="74"/>
    </row>
    <row r="49" spans="1:27" outlineLevel="1" x14ac:dyDescent="0.25">
      <c r="A49" s="108"/>
      <c r="B49" s="176"/>
      <c r="C49" s="179" t="s">
        <v>458</v>
      </c>
      <c r="D49" s="644"/>
      <c r="E49" s="94" t="s">
        <v>606</v>
      </c>
      <c r="F49" s="58"/>
      <c r="G49" s="357"/>
      <c r="H49" s="357"/>
      <c r="I49" s="85"/>
      <c r="J49" s="85"/>
      <c r="K49" s="4"/>
      <c r="L49" s="555"/>
      <c r="M49" s="568"/>
      <c r="N49" s="556"/>
      <c r="O49" s="76"/>
      <c r="P49" s="74"/>
      <c r="Q49" s="74"/>
    </row>
    <row r="50" spans="1:27" outlineLevel="1" x14ac:dyDescent="0.25">
      <c r="A50" s="108"/>
      <c r="B50" s="176"/>
      <c r="C50" s="179" t="s">
        <v>459</v>
      </c>
      <c r="D50" s="644"/>
      <c r="E50" s="94" t="s">
        <v>606</v>
      </c>
      <c r="F50" s="58"/>
      <c r="G50" s="357"/>
      <c r="H50" s="357"/>
      <c r="I50" s="85"/>
      <c r="J50" s="85"/>
      <c r="K50" s="4"/>
      <c r="L50" s="555"/>
      <c r="M50" s="568"/>
      <c r="N50" s="556"/>
      <c r="O50" s="76"/>
      <c r="P50" s="74"/>
      <c r="Q50" s="74"/>
    </row>
    <row r="51" spans="1:27" outlineLevel="1" x14ac:dyDescent="0.25">
      <c r="A51" s="108"/>
      <c r="B51" s="176"/>
      <c r="C51" s="179" t="s">
        <v>460</v>
      </c>
      <c r="D51" s="644"/>
      <c r="E51" s="94" t="s">
        <v>607</v>
      </c>
      <c r="F51" s="58"/>
      <c r="G51" s="357"/>
      <c r="H51" s="357"/>
      <c r="I51" s="85"/>
      <c r="J51" s="85"/>
      <c r="K51" s="4"/>
      <c r="L51" s="555"/>
      <c r="M51" s="568"/>
      <c r="N51" s="556"/>
      <c r="O51" s="76"/>
      <c r="P51" s="74"/>
      <c r="Q51" s="74"/>
    </row>
    <row r="52" spans="1:27" outlineLevel="1" x14ac:dyDescent="0.25">
      <c r="A52" s="108"/>
      <c r="B52" s="176"/>
      <c r="C52" s="179" t="s">
        <v>461</v>
      </c>
      <c r="D52" s="644"/>
      <c r="E52" s="94" t="s">
        <v>607</v>
      </c>
      <c r="F52" s="58"/>
      <c r="G52" s="357"/>
      <c r="H52" s="357"/>
      <c r="I52" s="85"/>
      <c r="J52" s="85"/>
      <c r="K52" s="4"/>
      <c r="L52" s="555"/>
      <c r="M52" s="568"/>
      <c r="N52" s="556"/>
      <c r="O52" s="76"/>
      <c r="P52" s="74"/>
      <c r="Q52" s="74"/>
    </row>
    <row r="53" spans="1:27" outlineLevel="1" x14ac:dyDescent="0.25">
      <c r="A53" s="108"/>
      <c r="B53" s="176"/>
      <c r="C53" s="179" t="s">
        <v>462</v>
      </c>
      <c r="D53" s="644"/>
      <c r="E53" s="94" t="s">
        <v>608</v>
      </c>
      <c r="F53" s="58"/>
      <c r="G53" s="357"/>
      <c r="H53" s="357"/>
      <c r="I53" s="85"/>
      <c r="J53" s="85"/>
      <c r="K53" s="4"/>
      <c r="L53" s="555"/>
      <c r="M53" s="568"/>
      <c r="N53" s="556"/>
      <c r="O53" s="76"/>
      <c r="P53" s="74"/>
      <c r="Q53" s="74"/>
    </row>
    <row r="54" spans="1:27" outlineLevel="1" x14ac:dyDescent="0.25">
      <c r="A54" s="108"/>
      <c r="B54" s="93" t="s">
        <v>30</v>
      </c>
      <c r="C54" s="629" t="s">
        <v>167</v>
      </c>
      <c r="D54" s="644"/>
      <c r="E54" s="94" t="s">
        <v>606</v>
      </c>
      <c r="F54" s="58"/>
      <c r="G54" s="357"/>
      <c r="H54" s="357"/>
      <c r="I54" s="85"/>
      <c r="J54" s="85"/>
      <c r="K54" s="554"/>
      <c r="L54" s="45"/>
      <c r="M54" s="568"/>
      <c r="N54" s="556"/>
      <c r="O54" s="76"/>
      <c r="P54" s="74"/>
      <c r="Q54" s="74"/>
      <c r="V54" s="359"/>
      <c r="W54" s="45"/>
      <c r="X54" s="360"/>
      <c r="Y54" s="138"/>
      <c r="Z54" s="76"/>
      <c r="AA54" s="74"/>
    </row>
    <row r="55" spans="1:27" outlineLevel="1" x14ac:dyDescent="0.25">
      <c r="A55" s="108"/>
      <c r="B55" s="93" t="s">
        <v>30</v>
      </c>
      <c r="C55" s="629" t="s">
        <v>167</v>
      </c>
      <c r="D55" s="644"/>
      <c r="E55" s="94" t="s">
        <v>607</v>
      </c>
      <c r="F55" s="58"/>
      <c r="G55" s="357"/>
      <c r="H55" s="357"/>
      <c r="I55" s="85"/>
      <c r="J55" s="85"/>
      <c r="K55" s="554"/>
      <c r="L55" s="45"/>
      <c r="M55" s="568"/>
      <c r="N55" s="556"/>
      <c r="O55" s="76"/>
      <c r="P55" s="74"/>
      <c r="Q55" s="74"/>
      <c r="V55" s="359"/>
      <c r="W55" s="45"/>
      <c r="X55" s="360"/>
      <c r="Y55" s="138"/>
      <c r="Z55" s="76"/>
      <c r="AA55" s="74"/>
    </row>
    <row r="56" spans="1:27" outlineLevel="1" x14ac:dyDescent="0.25">
      <c r="A56" s="108"/>
      <c r="B56" s="93" t="s">
        <v>30</v>
      </c>
      <c r="C56" s="637" t="s">
        <v>167</v>
      </c>
      <c r="D56" s="644"/>
      <c r="E56" s="94" t="s">
        <v>608</v>
      </c>
      <c r="F56" s="58"/>
      <c r="G56" s="357"/>
      <c r="H56" s="357"/>
      <c r="I56" s="85"/>
      <c r="J56" s="85"/>
      <c r="K56" s="554"/>
      <c r="L56" s="448"/>
      <c r="M56" s="568"/>
      <c r="N56" s="556"/>
      <c r="O56" s="76"/>
      <c r="P56" s="74"/>
      <c r="Q56" s="74"/>
      <c r="V56" s="359"/>
      <c r="W56" s="45"/>
      <c r="X56" s="360"/>
      <c r="Y56" s="138"/>
      <c r="Z56" s="76"/>
      <c r="AA56" s="74"/>
    </row>
    <row r="57" spans="1:27" ht="6" customHeight="1" outlineLevel="1" x14ac:dyDescent="0.25">
      <c r="A57" s="108"/>
      <c r="B57" s="24"/>
      <c r="C57" s="24"/>
      <c r="D57" s="24"/>
      <c r="E57" s="58"/>
      <c r="F57" s="58"/>
      <c r="G57" s="357"/>
      <c r="H57" s="357"/>
      <c r="I57" s="85"/>
      <c r="J57" s="85"/>
      <c r="K57" s="359"/>
      <c r="L57" s="359"/>
      <c r="M57" s="359"/>
      <c r="N57" s="76"/>
      <c r="O57" s="76"/>
      <c r="P57" s="4"/>
      <c r="Q57" s="4"/>
      <c r="V57" s="74"/>
      <c r="W57" s="74"/>
      <c r="X57" s="74"/>
      <c r="Y57" s="74"/>
      <c r="Z57" s="74"/>
      <c r="AA57" s="74"/>
    </row>
    <row r="58" spans="1:27" ht="15.75" outlineLevel="1" x14ac:dyDescent="0.25">
      <c r="A58" s="108"/>
      <c r="B58" s="723" t="s">
        <v>251</v>
      </c>
      <c r="C58" s="723"/>
      <c r="D58" s="723"/>
      <c r="E58" s="723"/>
      <c r="F58" s="723"/>
      <c r="G58" s="723"/>
      <c r="H58" s="723"/>
      <c r="I58" s="85"/>
      <c r="J58" s="85"/>
      <c r="K58" s="562"/>
      <c r="L58" s="562"/>
      <c r="M58" s="562"/>
      <c r="N58" s="562"/>
      <c r="O58" s="562"/>
      <c r="P58" s="562"/>
      <c r="Q58" s="562"/>
      <c r="V58" s="74"/>
      <c r="W58" s="74"/>
      <c r="X58" s="74"/>
      <c r="Y58" s="74"/>
      <c r="Z58" s="74"/>
      <c r="AA58" s="74"/>
    </row>
    <row r="59" spans="1:27" outlineLevel="1" x14ac:dyDescent="0.25">
      <c r="A59" s="108"/>
      <c r="B59" s="93" t="s">
        <v>30</v>
      </c>
      <c r="C59" s="629" t="s">
        <v>167</v>
      </c>
      <c r="D59" s="644"/>
      <c r="E59" s="94" t="s">
        <v>605</v>
      </c>
      <c r="F59" s="117" t="s">
        <v>205</v>
      </c>
      <c r="G59" s="644"/>
      <c r="H59" s="118" t="s">
        <v>365</v>
      </c>
      <c r="I59" s="85"/>
      <c r="J59" s="85"/>
      <c r="K59" s="554"/>
      <c r="L59" s="45"/>
      <c r="M59" s="568"/>
      <c r="N59" s="556"/>
      <c r="O59" s="558"/>
      <c r="P59" s="569"/>
      <c r="Q59" s="559"/>
      <c r="V59" s="74"/>
      <c r="W59" s="74"/>
      <c r="X59" s="74"/>
      <c r="Y59" s="74"/>
      <c r="Z59" s="74"/>
      <c r="AA59" s="74"/>
    </row>
    <row r="60" spans="1:27" outlineLevel="1" x14ac:dyDescent="0.25">
      <c r="A60" s="108"/>
      <c r="B60" s="93" t="s">
        <v>30</v>
      </c>
      <c r="C60" s="629" t="s">
        <v>167</v>
      </c>
      <c r="D60" s="644"/>
      <c r="E60" s="94" t="s">
        <v>605</v>
      </c>
      <c r="F60" s="117" t="s">
        <v>205</v>
      </c>
      <c r="G60" s="644"/>
      <c r="H60" s="118" t="s">
        <v>365</v>
      </c>
      <c r="I60" s="85"/>
      <c r="J60" s="85"/>
      <c r="K60" s="554"/>
      <c r="L60" s="45"/>
      <c r="M60" s="568"/>
      <c r="N60" s="556"/>
      <c r="O60" s="558"/>
      <c r="P60" s="569"/>
      <c r="Q60" s="559"/>
      <c r="V60" s="74"/>
      <c r="W60" s="74"/>
      <c r="X60" s="74"/>
      <c r="Y60" s="74"/>
      <c r="Z60" s="74"/>
      <c r="AA60" s="74"/>
    </row>
    <row r="61" spans="1:27" outlineLevel="1" x14ac:dyDescent="0.25">
      <c r="A61" s="108"/>
      <c r="B61" s="93" t="s">
        <v>30</v>
      </c>
      <c r="C61" s="629" t="s">
        <v>167</v>
      </c>
      <c r="D61" s="644"/>
      <c r="E61" s="94" t="s">
        <v>605</v>
      </c>
      <c r="F61" s="117" t="s">
        <v>205</v>
      </c>
      <c r="G61" s="644"/>
      <c r="H61" s="118" t="s">
        <v>365</v>
      </c>
      <c r="I61" s="85"/>
      <c r="J61" s="85"/>
      <c r="K61" s="554"/>
      <c r="L61" s="45"/>
      <c r="M61" s="568"/>
      <c r="N61" s="556"/>
      <c r="O61" s="558"/>
      <c r="P61" s="569"/>
      <c r="Q61" s="559"/>
      <c r="V61" s="74"/>
      <c r="W61" s="74"/>
      <c r="X61" s="74"/>
      <c r="Y61" s="74"/>
      <c r="Z61" s="74"/>
      <c r="AA61" s="74"/>
    </row>
    <row r="62" spans="1:27" outlineLevel="1" x14ac:dyDescent="0.25">
      <c r="A62" s="108"/>
      <c r="B62" s="93" t="s">
        <v>30</v>
      </c>
      <c r="C62" s="629" t="s">
        <v>167</v>
      </c>
      <c r="D62" s="644"/>
      <c r="E62" s="94" t="s">
        <v>605</v>
      </c>
      <c r="F62" s="117" t="s">
        <v>205</v>
      </c>
      <c r="G62" s="644"/>
      <c r="H62" s="118" t="s">
        <v>365</v>
      </c>
      <c r="I62" s="85"/>
      <c r="J62" s="85"/>
      <c r="K62" s="554"/>
      <c r="L62" s="45"/>
      <c r="M62" s="568"/>
      <c r="N62" s="556"/>
      <c r="O62" s="558"/>
      <c r="P62" s="569"/>
      <c r="Q62" s="559"/>
      <c r="V62" s="74"/>
      <c r="W62" s="74"/>
      <c r="X62" s="74"/>
      <c r="Y62" s="74"/>
      <c r="Z62" s="74"/>
      <c r="AA62" s="74"/>
    </row>
    <row r="63" spans="1:27" outlineLevel="1" x14ac:dyDescent="0.25">
      <c r="A63" s="108"/>
      <c r="B63" s="93" t="s">
        <v>30</v>
      </c>
      <c r="C63" s="629" t="s">
        <v>167</v>
      </c>
      <c r="D63" s="644"/>
      <c r="E63" s="94" t="s">
        <v>605</v>
      </c>
      <c r="F63" s="117" t="s">
        <v>205</v>
      </c>
      <c r="G63" s="644"/>
      <c r="H63" s="118" t="s">
        <v>365</v>
      </c>
      <c r="I63" s="85"/>
      <c r="J63" s="85"/>
      <c r="K63" s="554"/>
      <c r="L63" s="45"/>
      <c r="M63" s="568"/>
      <c r="N63" s="556"/>
      <c r="O63" s="558"/>
      <c r="P63" s="569"/>
      <c r="Q63" s="559"/>
      <c r="V63" s="74"/>
      <c r="W63" s="74"/>
      <c r="X63" s="74"/>
      <c r="Y63" s="74"/>
      <c r="Z63" s="74"/>
      <c r="AA63" s="74"/>
    </row>
    <row r="64" spans="1:27" ht="6.75" customHeight="1" outlineLevel="1" x14ac:dyDescent="0.25">
      <c r="A64" s="108"/>
      <c r="B64" s="93"/>
      <c r="C64" s="93"/>
      <c r="D64" s="93"/>
      <c r="E64" s="93"/>
      <c r="F64" s="93"/>
      <c r="G64" s="93"/>
      <c r="H64" s="93"/>
      <c r="I64" s="85"/>
      <c r="J64" s="85"/>
      <c r="K64" s="554"/>
      <c r="L64" s="554"/>
      <c r="M64" s="554"/>
      <c r="N64" s="554"/>
      <c r="O64" s="554"/>
      <c r="P64" s="554"/>
      <c r="Q64" s="554"/>
      <c r="V64" s="74"/>
      <c r="W64" s="74"/>
      <c r="X64" s="74"/>
      <c r="Y64" s="74"/>
      <c r="Z64" s="74"/>
      <c r="AA64" s="74"/>
    </row>
    <row r="65" spans="1:17" ht="15.75" x14ac:dyDescent="0.25">
      <c r="A65" s="108"/>
      <c r="B65" s="723" t="s">
        <v>884</v>
      </c>
      <c r="C65" s="723"/>
      <c r="D65" s="723"/>
      <c r="E65" s="723"/>
      <c r="F65" s="723"/>
      <c r="G65" s="723"/>
      <c r="H65" s="723"/>
      <c r="I65" s="85"/>
      <c r="J65" s="85"/>
      <c r="K65" s="562"/>
      <c r="L65" s="562"/>
      <c r="M65" s="562"/>
      <c r="N65" s="562"/>
      <c r="O65" s="562"/>
      <c r="P65" s="562"/>
      <c r="Q65" s="562"/>
    </row>
    <row r="66" spans="1:17" x14ac:dyDescent="0.25">
      <c r="A66" s="108"/>
      <c r="B66" s="25"/>
      <c r="C66" s="93" t="s">
        <v>366</v>
      </c>
      <c r="D66" s="644"/>
      <c r="E66" s="94" t="s">
        <v>628</v>
      </c>
      <c r="F66" s="27"/>
      <c r="G66" s="27"/>
      <c r="H66" s="73"/>
      <c r="I66" s="85"/>
      <c r="J66" s="85"/>
      <c r="K66" s="138"/>
      <c r="L66" s="554"/>
      <c r="M66" s="568"/>
      <c r="N66" s="556"/>
      <c r="O66" s="126"/>
      <c r="P66" s="126"/>
      <c r="Q66" s="108"/>
    </row>
    <row r="67" spans="1:17" x14ac:dyDescent="0.25">
      <c r="A67" s="108"/>
      <c r="B67" s="25"/>
      <c r="C67" s="93" t="s">
        <v>367</v>
      </c>
      <c r="D67" s="644"/>
      <c r="E67" s="94" t="s">
        <v>628</v>
      </c>
      <c r="F67" s="27"/>
      <c r="G67" s="27"/>
      <c r="H67" s="73"/>
      <c r="I67" s="85"/>
      <c r="J67" s="85"/>
      <c r="K67" s="138"/>
      <c r="L67" s="554"/>
      <c r="M67" s="568"/>
      <c r="N67" s="556"/>
      <c r="O67" s="126"/>
      <c r="P67" s="126"/>
      <c r="Q67" s="108"/>
    </row>
    <row r="68" spans="1:17" ht="30" x14ac:dyDescent="0.25">
      <c r="A68" s="108"/>
      <c r="B68" s="25"/>
      <c r="C68" s="93" t="s">
        <v>368</v>
      </c>
      <c r="D68" s="644"/>
      <c r="E68" s="94" t="s">
        <v>628</v>
      </c>
      <c r="F68" s="311" t="s">
        <v>379</v>
      </c>
      <c r="G68" s="670"/>
      <c r="H68" s="94"/>
      <c r="I68" s="85"/>
      <c r="J68" s="85"/>
      <c r="K68" s="138"/>
      <c r="L68" s="554"/>
      <c r="M68" s="568"/>
      <c r="N68" s="556"/>
      <c r="O68" s="560"/>
      <c r="P68" s="570"/>
      <c r="Q68" s="556"/>
    </row>
    <row r="69" spans="1:17" x14ac:dyDescent="0.25">
      <c r="A69" s="108"/>
      <c r="B69" s="25"/>
      <c r="C69" s="93" t="s">
        <v>369</v>
      </c>
      <c r="D69" s="644"/>
      <c r="E69" s="94" t="s">
        <v>628</v>
      </c>
      <c r="F69" s="27"/>
      <c r="G69" s="27"/>
      <c r="H69" s="73"/>
      <c r="I69" s="85"/>
      <c r="J69" s="85"/>
      <c r="K69" s="138"/>
      <c r="L69" s="554"/>
      <c r="M69" s="568"/>
      <c r="N69" s="556"/>
      <c r="O69" s="126"/>
      <c r="P69" s="126"/>
      <c r="Q69" s="108"/>
    </row>
    <row r="70" spans="1:17" x14ac:dyDescent="0.25">
      <c r="A70" s="108"/>
      <c r="B70" s="25"/>
      <c r="C70" s="93" t="s">
        <v>370</v>
      </c>
      <c r="D70" s="644"/>
      <c r="E70" s="94" t="s">
        <v>628</v>
      </c>
      <c r="F70" s="27"/>
      <c r="G70" s="27"/>
      <c r="H70" s="73"/>
      <c r="I70" s="85"/>
      <c r="J70" s="85"/>
      <c r="K70" s="138"/>
      <c r="L70" s="554"/>
      <c r="M70" s="568"/>
      <c r="N70" s="556"/>
      <c r="O70" s="126"/>
      <c r="P70" s="126"/>
      <c r="Q70" s="108"/>
    </row>
    <row r="71" spans="1:17" x14ac:dyDescent="0.25">
      <c r="A71" s="108"/>
      <c r="B71" s="25"/>
      <c r="C71" s="93" t="s">
        <v>371</v>
      </c>
      <c r="D71" s="644"/>
      <c r="E71" s="94" t="s">
        <v>628</v>
      </c>
      <c r="F71" s="27"/>
      <c r="G71" s="27"/>
      <c r="H71" s="73"/>
      <c r="I71" s="85"/>
      <c r="J71" s="85"/>
      <c r="K71" s="138"/>
      <c r="L71" s="554"/>
      <c r="M71" s="568"/>
      <c r="N71" s="556"/>
      <c r="O71" s="126"/>
      <c r="P71" s="126"/>
      <c r="Q71" s="108"/>
    </row>
    <row r="72" spans="1:17" x14ac:dyDescent="0.25">
      <c r="A72" s="108"/>
      <c r="B72" s="25"/>
      <c r="C72" s="93" t="s">
        <v>467</v>
      </c>
      <c r="D72" s="644"/>
      <c r="E72" s="94" t="s">
        <v>628</v>
      </c>
      <c r="F72" s="27"/>
      <c r="G72" s="27"/>
      <c r="H72" s="73"/>
      <c r="I72" s="85"/>
      <c r="J72" s="85"/>
      <c r="K72" s="138"/>
      <c r="L72" s="554"/>
      <c r="M72" s="568"/>
      <c r="N72" s="556"/>
      <c r="O72" s="126"/>
      <c r="P72" s="126"/>
      <c r="Q72" s="108"/>
    </row>
    <row r="73" spans="1:17" x14ac:dyDescent="0.25">
      <c r="A73" s="108"/>
      <c r="B73" s="25"/>
      <c r="C73" s="93" t="s">
        <v>46</v>
      </c>
      <c r="D73" s="644"/>
      <c r="E73" s="94" t="s">
        <v>628</v>
      </c>
      <c r="F73" s="27"/>
      <c r="G73" s="27"/>
      <c r="H73" s="73"/>
      <c r="I73" s="85"/>
      <c r="J73" s="85"/>
      <c r="K73" s="138"/>
      <c r="L73" s="554"/>
      <c r="M73" s="568"/>
      <c r="N73" s="556"/>
      <c r="O73" s="126"/>
      <c r="P73" s="126"/>
      <c r="Q73" s="108"/>
    </row>
    <row r="74" spans="1:17" x14ac:dyDescent="0.25">
      <c r="A74" s="108"/>
      <c r="B74" s="25"/>
      <c r="C74" s="93" t="s">
        <v>468</v>
      </c>
      <c r="D74" s="644"/>
      <c r="E74" s="94" t="s">
        <v>310</v>
      </c>
      <c r="F74" s="27"/>
      <c r="G74" s="39"/>
      <c r="H74" s="73"/>
      <c r="I74" s="85"/>
      <c r="J74" s="85"/>
      <c r="K74" s="138"/>
      <c r="L74" s="554"/>
      <c r="M74" s="568"/>
      <c r="N74" s="556"/>
      <c r="O74" s="126"/>
      <c r="P74" s="571"/>
      <c r="Q74" s="108"/>
    </row>
    <row r="75" spans="1:17" x14ac:dyDescent="0.25">
      <c r="A75" s="108"/>
      <c r="B75" s="25"/>
      <c r="C75" s="93" t="s">
        <v>469</v>
      </c>
      <c r="D75" s="644"/>
      <c r="E75" s="94" t="s">
        <v>310</v>
      </c>
      <c r="F75" s="27"/>
      <c r="G75" s="39"/>
      <c r="H75" s="73"/>
      <c r="I75" s="85"/>
      <c r="J75" s="85"/>
      <c r="K75" s="138"/>
      <c r="L75" s="554"/>
      <c r="M75" s="568"/>
      <c r="N75" s="556"/>
      <c r="O75" s="126"/>
      <c r="P75" s="571"/>
      <c r="Q75" s="108"/>
    </row>
    <row r="76" spans="1:17" x14ac:dyDescent="0.25">
      <c r="A76" s="108"/>
      <c r="B76" s="25"/>
      <c r="C76" s="93" t="s">
        <v>376</v>
      </c>
      <c r="D76" s="644"/>
      <c r="E76" s="94" t="s">
        <v>627</v>
      </c>
      <c r="F76" s="27"/>
      <c r="G76" s="39"/>
      <c r="H76" s="73"/>
      <c r="I76" s="85"/>
      <c r="J76" s="85"/>
      <c r="K76" s="138"/>
      <c r="L76" s="554"/>
      <c r="M76" s="568"/>
      <c r="N76" s="556"/>
      <c r="O76" s="126"/>
      <c r="P76" s="571"/>
      <c r="Q76" s="108"/>
    </row>
    <row r="77" spans="1:17" x14ac:dyDescent="0.25">
      <c r="A77" s="108"/>
      <c r="B77" s="25"/>
      <c r="C77" s="93" t="s">
        <v>375</v>
      </c>
      <c r="D77" s="644"/>
      <c r="E77" s="94" t="s">
        <v>627</v>
      </c>
      <c r="F77" s="27"/>
      <c r="G77" s="39"/>
      <c r="H77" s="73"/>
      <c r="I77" s="85"/>
      <c r="J77" s="85"/>
      <c r="K77" s="138"/>
      <c r="L77" s="554"/>
      <c r="M77" s="568"/>
      <c r="N77" s="556"/>
      <c r="O77" s="126"/>
      <c r="P77" s="571"/>
      <c r="Q77" s="108"/>
    </row>
    <row r="78" spans="1:17" x14ac:dyDescent="0.25">
      <c r="A78" s="108"/>
      <c r="B78" s="25"/>
      <c r="C78" s="93" t="s">
        <v>372</v>
      </c>
      <c r="D78" s="644"/>
      <c r="E78" s="94" t="s">
        <v>627</v>
      </c>
      <c r="F78" s="27"/>
      <c r="G78" s="39"/>
      <c r="H78" s="73"/>
      <c r="I78" s="85"/>
      <c r="J78" s="85"/>
      <c r="K78" s="138"/>
      <c r="L78" s="554"/>
      <c r="M78" s="568"/>
      <c r="N78" s="556"/>
      <c r="O78" s="126"/>
      <c r="P78" s="571"/>
      <c r="Q78" s="108"/>
    </row>
    <row r="79" spans="1:17" x14ac:dyDescent="0.25">
      <c r="A79" s="108"/>
      <c r="B79" s="25"/>
      <c r="C79" s="93" t="s">
        <v>373</v>
      </c>
      <c r="D79" s="644"/>
      <c r="E79" s="94" t="s">
        <v>627</v>
      </c>
      <c r="F79" s="27"/>
      <c r="G79" s="39"/>
      <c r="H79" s="73"/>
      <c r="I79" s="85"/>
      <c r="J79" s="85"/>
      <c r="K79" s="138"/>
      <c r="L79" s="554"/>
      <c r="M79" s="568"/>
      <c r="N79" s="556"/>
      <c r="O79" s="126"/>
      <c r="P79" s="571"/>
      <c r="Q79" s="108"/>
    </row>
    <row r="80" spans="1:17" x14ac:dyDescent="0.25">
      <c r="A80" s="108"/>
      <c r="B80" s="25"/>
      <c r="C80" s="93" t="s">
        <v>374</v>
      </c>
      <c r="D80" s="644"/>
      <c r="E80" s="94" t="s">
        <v>627</v>
      </c>
      <c r="F80" s="27"/>
      <c r="G80" s="39"/>
      <c r="H80" s="73"/>
      <c r="I80" s="85"/>
      <c r="J80" s="85"/>
      <c r="K80" s="138"/>
      <c r="L80" s="554"/>
      <c r="M80" s="568"/>
      <c r="N80" s="556"/>
      <c r="O80" s="126"/>
      <c r="P80" s="571"/>
      <c r="Q80" s="108"/>
    </row>
    <row r="81" spans="1:27" ht="6" customHeight="1" x14ac:dyDescent="0.25">
      <c r="A81" s="108"/>
      <c r="B81" s="25"/>
      <c r="C81" s="73"/>
      <c r="D81" s="25"/>
      <c r="E81" s="73"/>
      <c r="F81" s="27"/>
      <c r="G81" s="39"/>
      <c r="H81" s="73"/>
      <c r="I81" s="85"/>
      <c r="J81" s="85"/>
      <c r="K81" s="138"/>
      <c r="L81" s="108"/>
      <c r="M81" s="138"/>
      <c r="N81" s="108"/>
      <c r="O81" s="126"/>
      <c r="P81" s="571"/>
      <c r="Q81" s="108"/>
    </row>
    <row r="82" spans="1:27" x14ac:dyDescent="0.25">
      <c r="A82" s="108"/>
      <c r="B82" s="108"/>
      <c r="C82" s="108"/>
      <c r="D82" s="108"/>
      <c r="E82" s="108"/>
      <c r="F82" s="108"/>
      <c r="G82" s="108"/>
      <c r="H82" s="108"/>
      <c r="I82" s="85"/>
      <c r="J82" s="108"/>
      <c r="K82" s="85"/>
      <c r="L82" s="85"/>
      <c r="M82" s="85"/>
      <c r="N82" s="85"/>
      <c r="O82" s="85"/>
      <c r="P82" s="85"/>
      <c r="Q82" s="85"/>
      <c r="R82" s="85"/>
      <c r="S82" s="85"/>
      <c r="T82" s="85"/>
      <c r="U82" s="85"/>
      <c r="V82" s="85"/>
      <c r="W82" s="85"/>
      <c r="X82" s="85"/>
      <c r="Y82" s="85"/>
      <c r="Z82" s="85"/>
      <c r="AA82" s="85"/>
    </row>
    <row r="83" spans="1:27" ht="18.75" x14ac:dyDescent="0.25">
      <c r="A83" s="108"/>
      <c r="B83" s="732" t="s">
        <v>191</v>
      </c>
      <c r="C83" s="732"/>
      <c r="D83" s="732"/>
      <c r="E83" s="732"/>
      <c r="F83" s="732"/>
      <c r="G83" s="732"/>
      <c r="H83" s="732"/>
      <c r="I83" s="85"/>
      <c r="J83" s="85"/>
      <c r="K83" s="85"/>
      <c r="L83" s="85"/>
      <c r="M83" s="85"/>
      <c r="N83" s="85"/>
      <c r="O83" s="85"/>
      <c r="P83" s="85"/>
      <c r="Q83" s="85"/>
      <c r="R83" s="85"/>
      <c r="S83" s="85"/>
      <c r="T83" s="85"/>
      <c r="U83" s="85"/>
      <c r="V83" s="85"/>
      <c r="W83" s="85"/>
      <c r="X83" s="85"/>
      <c r="Y83" s="85"/>
      <c r="Z83" s="85"/>
      <c r="AA83" s="85"/>
    </row>
    <row r="84" spans="1:27" ht="15.75" x14ac:dyDescent="0.25">
      <c r="A84" s="108"/>
      <c r="B84" s="731" t="s">
        <v>383</v>
      </c>
      <c r="C84" s="731"/>
      <c r="D84" s="731"/>
      <c r="E84" s="731"/>
      <c r="F84" s="731"/>
      <c r="G84" s="731"/>
      <c r="H84" s="731"/>
      <c r="I84" s="85"/>
      <c r="J84" s="85"/>
      <c r="K84" s="85"/>
      <c r="L84" s="85"/>
      <c r="M84" s="85"/>
      <c r="N84" s="85"/>
      <c r="O84" s="85"/>
      <c r="P84" s="85"/>
      <c r="Q84" s="85"/>
      <c r="R84" s="85"/>
      <c r="S84" s="85"/>
      <c r="T84" s="85"/>
      <c r="U84" s="85"/>
      <c r="V84" s="85"/>
      <c r="W84" s="85"/>
      <c r="X84" s="85"/>
      <c r="Y84" s="85"/>
      <c r="Z84" s="85"/>
      <c r="AA84" s="85"/>
    </row>
    <row r="85" spans="1:27" x14ac:dyDescent="0.25">
      <c r="A85" s="108"/>
      <c r="B85" s="25"/>
      <c r="C85" s="93" t="s">
        <v>747</v>
      </c>
      <c r="D85" s="644"/>
      <c r="E85" s="94" t="s">
        <v>761</v>
      </c>
      <c r="F85" s="141" t="s">
        <v>134</v>
      </c>
      <c r="G85" s="670"/>
      <c r="H85" s="309"/>
      <c r="I85" s="85"/>
      <c r="J85" s="85"/>
      <c r="K85" s="85"/>
      <c r="L85" s="85"/>
      <c r="M85" s="85"/>
      <c r="N85" s="85"/>
      <c r="O85" s="85"/>
      <c r="P85" s="85"/>
      <c r="Q85" s="85"/>
      <c r="R85" s="85"/>
      <c r="S85" s="85"/>
      <c r="T85" s="85"/>
      <c r="U85" s="85"/>
      <c r="V85" s="85"/>
      <c r="W85" s="85"/>
      <c r="X85" s="85"/>
      <c r="Y85" s="85"/>
      <c r="Z85" s="85"/>
      <c r="AA85" s="85"/>
    </row>
    <row r="86" spans="1:27" x14ac:dyDescent="0.25">
      <c r="A86" s="108"/>
      <c r="B86" s="25"/>
      <c r="C86" s="93" t="s">
        <v>616</v>
      </c>
      <c r="D86" s="644"/>
      <c r="E86" s="94" t="s">
        <v>258</v>
      </c>
      <c r="F86" s="415"/>
      <c r="G86" s="415"/>
      <c r="H86" s="57"/>
      <c r="I86" s="85"/>
      <c r="J86" s="85"/>
      <c r="K86" s="85"/>
      <c r="L86" s="85"/>
      <c r="M86" s="85"/>
      <c r="N86" s="85"/>
      <c r="O86" s="85"/>
      <c r="P86" s="85"/>
      <c r="Q86" s="85"/>
      <c r="R86" s="85"/>
      <c r="S86" s="85"/>
      <c r="T86" s="85"/>
      <c r="U86" s="85"/>
      <c r="V86" s="85"/>
      <c r="W86" s="85"/>
      <c r="X86" s="85"/>
      <c r="Y86" s="85"/>
      <c r="Z86" s="85"/>
      <c r="AA86" s="85"/>
    </row>
    <row r="87" spans="1:27" x14ac:dyDescent="0.25">
      <c r="A87" s="108"/>
      <c r="B87" s="25"/>
      <c r="C87" s="93" t="s">
        <v>618</v>
      </c>
      <c r="D87" s="644"/>
      <c r="E87" s="94" t="s">
        <v>624</v>
      </c>
      <c r="F87" s="415"/>
      <c r="G87" s="415"/>
      <c r="H87" s="57"/>
      <c r="I87" s="85"/>
      <c r="J87" s="85"/>
      <c r="K87" s="85"/>
      <c r="L87" s="85"/>
      <c r="M87" s="85"/>
      <c r="N87" s="85"/>
      <c r="O87" s="85"/>
      <c r="P87" s="85"/>
      <c r="Q87" s="85"/>
      <c r="R87" s="85"/>
      <c r="S87" s="85"/>
      <c r="T87" s="85"/>
      <c r="U87" s="85"/>
      <c r="V87" s="85"/>
      <c r="W87" s="85"/>
      <c r="X87" s="85"/>
      <c r="Y87" s="85"/>
      <c r="Z87" s="85"/>
      <c r="AA87" s="85"/>
    </row>
    <row r="88" spans="1:27" x14ac:dyDescent="0.25">
      <c r="A88" s="108"/>
      <c r="B88" s="25"/>
      <c r="C88" s="93" t="s">
        <v>617</v>
      </c>
      <c r="D88" s="644"/>
      <c r="E88" s="94" t="s">
        <v>624</v>
      </c>
      <c r="F88" s="415"/>
      <c r="G88" s="415"/>
      <c r="H88" s="57"/>
      <c r="I88" s="85"/>
      <c r="J88" s="85"/>
      <c r="K88" s="85"/>
      <c r="L88" s="85"/>
      <c r="M88" s="85"/>
      <c r="N88" s="85"/>
      <c r="O88" s="85"/>
      <c r="P88" s="85"/>
      <c r="Q88" s="85"/>
      <c r="R88" s="85"/>
      <c r="S88" s="85"/>
      <c r="T88" s="85"/>
      <c r="U88" s="85"/>
      <c r="V88" s="85"/>
      <c r="W88" s="85"/>
      <c r="X88" s="85"/>
      <c r="Y88" s="85"/>
      <c r="Z88" s="85"/>
      <c r="AA88" s="85"/>
    </row>
    <row r="89" spans="1:27" x14ac:dyDescent="0.25">
      <c r="A89" s="108"/>
      <c r="B89" s="25"/>
      <c r="C89" s="93" t="s">
        <v>988</v>
      </c>
      <c r="D89" s="644"/>
      <c r="E89" s="94" t="s">
        <v>625</v>
      </c>
      <c r="F89" s="415"/>
      <c r="G89" s="415"/>
      <c r="H89" s="57"/>
      <c r="I89" s="85"/>
      <c r="J89" s="85"/>
      <c r="K89" s="85"/>
      <c r="L89" s="85"/>
      <c r="M89" s="85"/>
      <c r="N89" s="85"/>
      <c r="O89" s="85"/>
      <c r="P89" s="85"/>
      <c r="Q89" s="85"/>
      <c r="R89" s="85"/>
      <c r="S89" s="85"/>
      <c r="T89" s="85"/>
      <c r="U89" s="85"/>
      <c r="V89" s="85"/>
      <c r="W89" s="85"/>
      <c r="X89" s="85"/>
      <c r="Y89" s="85"/>
      <c r="Z89" s="85"/>
      <c r="AA89" s="85"/>
    </row>
    <row r="90" spans="1:27" x14ac:dyDescent="0.25">
      <c r="A90" s="108"/>
      <c r="B90" s="25"/>
      <c r="C90" s="93" t="s">
        <v>620</v>
      </c>
      <c r="D90" s="644"/>
      <c r="E90" s="94" t="s">
        <v>626</v>
      </c>
      <c r="F90" s="141" t="s">
        <v>134</v>
      </c>
      <c r="G90" s="670"/>
      <c r="H90" s="57"/>
      <c r="I90" s="85"/>
      <c r="J90" s="85"/>
      <c r="K90" s="85"/>
      <c r="L90" s="85"/>
      <c r="M90" s="85"/>
      <c r="N90" s="85"/>
      <c r="O90" s="85"/>
      <c r="P90" s="85"/>
      <c r="Q90" s="85"/>
      <c r="R90" s="85"/>
      <c r="S90" s="85"/>
      <c r="T90" s="85"/>
      <c r="U90" s="85"/>
      <c r="V90" s="85"/>
      <c r="W90" s="85"/>
      <c r="X90" s="85"/>
      <c r="Y90" s="85"/>
      <c r="Z90" s="85"/>
      <c r="AA90" s="85"/>
    </row>
    <row r="91" spans="1:27" x14ac:dyDescent="0.25">
      <c r="A91" s="108"/>
      <c r="B91" s="25"/>
      <c r="C91" s="93" t="s">
        <v>621</v>
      </c>
      <c r="D91" s="644"/>
      <c r="E91" s="94" t="s">
        <v>626</v>
      </c>
      <c r="F91" s="141" t="s">
        <v>134</v>
      </c>
      <c r="G91" s="670"/>
      <c r="H91" s="57"/>
      <c r="I91" s="85"/>
      <c r="J91" s="85"/>
      <c r="K91" s="85"/>
      <c r="L91" s="85"/>
      <c r="M91" s="85"/>
      <c r="N91" s="85"/>
      <c r="O91" s="85"/>
      <c r="P91" s="85"/>
      <c r="Q91" s="85"/>
      <c r="R91" s="85"/>
      <c r="S91" s="85"/>
      <c r="T91" s="85"/>
      <c r="U91" s="85"/>
      <c r="V91" s="85"/>
      <c r="W91" s="85"/>
      <c r="X91" s="85"/>
      <c r="Y91" s="85"/>
      <c r="Z91" s="85"/>
      <c r="AA91" s="85"/>
    </row>
    <row r="92" spans="1:27" x14ac:dyDescent="0.25">
      <c r="A92" s="108"/>
      <c r="B92" s="25"/>
      <c r="C92" s="93" t="s">
        <v>622</v>
      </c>
      <c r="D92" s="644"/>
      <c r="E92" s="94" t="s">
        <v>626</v>
      </c>
      <c r="F92" s="141" t="s">
        <v>134</v>
      </c>
      <c r="G92" s="670"/>
      <c r="H92" s="57"/>
      <c r="I92" s="85"/>
      <c r="J92" s="85"/>
      <c r="K92" s="85"/>
      <c r="L92" s="85"/>
      <c r="M92" s="85"/>
      <c r="N92" s="85"/>
      <c r="O92" s="85"/>
      <c r="P92" s="85"/>
      <c r="Q92" s="85"/>
      <c r="R92" s="85"/>
      <c r="S92" s="85"/>
      <c r="T92" s="85"/>
      <c r="U92" s="85"/>
      <c r="V92" s="85"/>
      <c r="W92" s="85"/>
      <c r="X92" s="85"/>
      <c r="Y92" s="85"/>
      <c r="Z92" s="85"/>
      <c r="AA92" s="85"/>
    </row>
    <row r="93" spans="1:27" x14ac:dyDescent="0.25">
      <c r="A93" s="108"/>
      <c r="B93" s="25"/>
      <c r="C93" s="93" t="s">
        <v>623</v>
      </c>
      <c r="D93" s="644"/>
      <c r="E93" s="94" t="s">
        <v>626</v>
      </c>
      <c r="F93" s="141" t="s">
        <v>134</v>
      </c>
      <c r="G93" s="670"/>
      <c r="H93" s="57"/>
      <c r="I93" s="85"/>
      <c r="J93" s="85"/>
      <c r="K93" s="85"/>
      <c r="L93" s="85"/>
      <c r="M93" s="85"/>
      <c r="N93" s="85"/>
      <c r="O93" s="85"/>
      <c r="P93" s="85"/>
      <c r="Q93" s="85"/>
      <c r="R93" s="85"/>
      <c r="S93" s="85"/>
      <c r="T93" s="85"/>
      <c r="U93" s="85"/>
      <c r="V93" s="85"/>
      <c r="W93" s="85"/>
      <c r="X93" s="85"/>
      <c r="Y93" s="85"/>
      <c r="Z93" s="85"/>
      <c r="AA93" s="85"/>
    </row>
    <row r="94" spans="1:27" x14ac:dyDescent="0.25">
      <c r="A94" s="108"/>
      <c r="B94" s="25"/>
      <c r="C94" s="93" t="s">
        <v>619</v>
      </c>
      <c r="D94" s="644"/>
      <c r="E94" s="94" t="s">
        <v>626</v>
      </c>
      <c r="F94" s="56"/>
      <c r="G94" s="56"/>
      <c r="H94" s="57"/>
      <c r="I94" s="85"/>
      <c r="J94" s="85"/>
      <c r="K94" s="85"/>
      <c r="L94" s="85"/>
      <c r="M94" s="85"/>
      <c r="N94" s="85"/>
      <c r="O94" s="85"/>
      <c r="P94" s="85"/>
      <c r="Q94" s="85"/>
      <c r="R94" s="85"/>
      <c r="S94" s="85"/>
      <c r="T94" s="85"/>
      <c r="U94" s="85"/>
      <c r="V94" s="85"/>
      <c r="W94" s="85"/>
      <c r="X94" s="85"/>
      <c r="Y94" s="85"/>
      <c r="Z94" s="85"/>
      <c r="AA94" s="85"/>
    </row>
    <row r="95" spans="1:27" ht="6" customHeight="1" x14ac:dyDescent="0.25">
      <c r="A95" s="108"/>
      <c r="B95" s="25"/>
      <c r="C95" s="57"/>
      <c r="D95" s="29"/>
      <c r="E95" s="29"/>
      <c r="F95" s="56"/>
      <c r="G95" s="56"/>
      <c r="H95" s="57"/>
      <c r="I95" s="85"/>
      <c r="J95" s="85"/>
      <c r="K95" s="85"/>
      <c r="L95" s="85"/>
      <c r="M95" s="85"/>
      <c r="N95" s="85"/>
      <c r="O95" s="85"/>
      <c r="P95" s="85"/>
      <c r="Q95" s="85"/>
      <c r="R95" s="85"/>
      <c r="S95" s="85"/>
      <c r="T95" s="85"/>
      <c r="U95" s="85"/>
      <c r="V95" s="85"/>
      <c r="W95" s="85"/>
      <c r="X95" s="85"/>
      <c r="Y95" s="85"/>
      <c r="Z95" s="85"/>
      <c r="AA95" s="85"/>
    </row>
    <row r="96" spans="1:27" ht="15.75" x14ac:dyDescent="0.25">
      <c r="A96" s="108"/>
      <c r="B96" s="731" t="s">
        <v>243</v>
      </c>
      <c r="C96" s="731"/>
      <c r="D96" s="731"/>
      <c r="E96" s="731"/>
      <c r="F96" s="731"/>
      <c r="G96" s="731"/>
      <c r="H96" s="731"/>
      <c r="I96" s="85"/>
      <c r="J96" s="85"/>
      <c r="K96" s="85"/>
      <c r="L96" s="85"/>
      <c r="M96" s="85"/>
      <c r="N96" s="85"/>
      <c r="O96" s="85"/>
      <c r="P96" s="85"/>
      <c r="Q96" s="85"/>
      <c r="R96" s="85"/>
      <c r="S96" s="85"/>
      <c r="T96" s="85"/>
      <c r="U96" s="85"/>
      <c r="V96" s="85"/>
      <c r="W96" s="85"/>
      <c r="X96" s="85"/>
      <c r="Y96" s="85"/>
      <c r="Z96" s="85"/>
      <c r="AA96" s="85"/>
    </row>
    <row r="97" spans="1:27" x14ac:dyDescent="0.25">
      <c r="A97" s="108"/>
      <c r="B97" s="54"/>
      <c r="C97" s="93" t="s">
        <v>376</v>
      </c>
      <c r="D97" s="644"/>
      <c r="E97" s="94" t="s">
        <v>627</v>
      </c>
      <c r="F97" s="60"/>
      <c r="G97" s="60"/>
      <c r="H97" s="64"/>
      <c r="I97" s="85"/>
      <c r="J97" s="85"/>
      <c r="K97" s="85"/>
      <c r="L97" s="85"/>
      <c r="M97" s="85"/>
      <c r="N97" s="85"/>
      <c r="O97" s="85"/>
      <c r="P97" s="85"/>
      <c r="Q97" s="85"/>
      <c r="R97" s="85"/>
      <c r="S97" s="85"/>
      <c r="T97" s="85"/>
      <c r="U97" s="85"/>
      <c r="V97" s="85"/>
      <c r="W97" s="85"/>
      <c r="X97" s="85"/>
      <c r="Y97" s="85"/>
      <c r="Z97" s="85"/>
      <c r="AA97" s="85"/>
    </row>
    <row r="98" spans="1:27" x14ac:dyDescent="0.25">
      <c r="A98" s="108"/>
      <c r="B98" s="54"/>
      <c r="C98" s="93" t="s">
        <v>375</v>
      </c>
      <c r="D98" s="644"/>
      <c r="E98" s="94" t="s">
        <v>627</v>
      </c>
      <c r="F98" s="60"/>
      <c r="G98" s="60"/>
      <c r="H98" s="64"/>
      <c r="I98" s="85"/>
      <c r="J98" s="85"/>
      <c r="K98" s="85"/>
      <c r="L98" s="85"/>
      <c r="M98" s="85"/>
      <c r="N98" s="85"/>
      <c r="O98" s="85"/>
      <c r="P98" s="85"/>
      <c r="Q98" s="85"/>
      <c r="R98" s="85"/>
      <c r="S98" s="85"/>
      <c r="T98" s="85"/>
      <c r="U98" s="85"/>
      <c r="V98" s="85"/>
      <c r="W98" s="85"/>
      <c r="X98" s="85"/>
      <c r="Y98" s="85"/>
      <c r="Z98" s="85"/>
      <c r="AA98" s="85"/>
    </row>
    <row r="99" spans="1:27" x14ac:dyDescent="0.25">
      <c r="A99" s="108"/>
      <c r="B99" s="54"/>
      <c r="C99" s="93" t="s">
        <v>372</v>
      </c>
      <c r="D99" s="644"/>
      <c r="E99" s="94" t="s">
        <v>627</v>
      </c>
      <c r="F99" s="60"/>
      <c r="G99" s="60"/>
      <c r="H99" s="64"/>
      <c r="I99" s="85"/>
      <c r="J99" s="85"/>
      <c r="K99" s="85"/>
      <c r="L99" s="85"/>
      <c r="M99" s="85"/>
      <c r="N99" s="85"/>
      <c r="O99" s="85"/>
      <c r="P99" s="85"/>
      <c r="Q99" s="85"/>
      <c r="R99" s="85"/>
      <c r="S99" s="85"/>
      <c r="T99" s="85"/>
      <c r="U99" s="85"/>
      <c r="V99" s="85"/>
      <c r="W99" s="85"/>
      <c r="X99" s="85"/>
      <c r="Y99" s="85"/>
      <c r="Z99" s="85"/>
      <c r="AA99" s="85"/>
    </row>
    <row r="100" spans="1:27" x14ac:dyDescent="0.25">
      <c r="A100" s="108"/>
      <c r="B100" s="54"/>
      <c r="C100" s="93" t="s">
        <v>373</v>
      </c>
      <c r="D100" s="644"/>
      <c r="E100" s="94" t="s">
        <v>627</v>
      </c>
      <c r="F100" s="229"/>
      <c r="G100" s="229"/>
      <c r="H100" s="64"/>
      <c r="I100" s="85"/>
      <c r="J100" s="85"/>
      <c r="K100" s="85"/>
      <c r="L100" s="85"/>
      <c r="M100" s="85"/>
      <c r="N100" s="85"/>
      <c r="O100" s="85"/>
      <c r="P100" s="85"/>
      <c r="Q100" s="85"/>
      <c r="R100" s="85"/>
      <c r="S100" s="85"/>
      <c r="T100" s="85"/>
      <c r="U100" s="85"/>
      <c r="V100" s="85"/>
      <c r="W100" s="85"/>
      <c r="X100" s="85"/>
      <c r="Y100" s="85"/>
      <c r="Z100" s="85"/>
      <c r="AA100" s="85"/>
    </row>
    <row r="101" spans="1:27" x14ac:dyDescent="0.25">
      <c r="A101" s="108"/>
      <c r="B101" s="54"/>
      <c r="C101" s="93" t="s">
        <v>374</v>
      </c>
      <c r="D101" s="644"/>
      <c r="E101" s="94" t="s">
        <v>627</v>
      </c>
      <c r="F101" s="229"/>
      <c r="G101" s="229"/>
      <c r="H101" s="64"/>
      <c r="I101" s="85"/>
      <c r="J101" s="85"/>
      <c r="K101" s="85"/>
      <c r="L101" s="85"/>
      <c r="M101" s="85"/>
      <c r="N101" s="85"/>
      <c r="O101" s="85"/>
      <c r="P101" s="85"/>
      <c r="Q101" s="85"/>
      <c r="R101" s="85"/>
      <c r="S101" s="85"/>
      <c r="T101" s="85"/>
      <c r="U101" s="85"/>
      <c r="V101" s="85"/>
      <c r="W101" s="85"/>
      <c r="X101" s="85"/>
      <c r="Y101" s="85"/>
      <c r="Z101" s="85"/>
      <c r="AA101" s="85"/>
    </row>
    <row r="102" spans="1:27" x14ac:dyDescent="0.25">
      <c r="A102" s="108"/>
      <c r="B102" s="54"/>
      <c r="C102" s="93" t="s">
        <v>366</v>
      </c>
      <c r="D102" s="644"/>
      <c r="E102" s="94" t="s">
        <v>628</v>
      </c>
      <c r="F102" s="229"/>
      <c r="G102" s="229"/>
      <c r="H102" s="64"/>
      <c r="I102" s="85"/>
      <c r="J102" s="85"/>
      <c r="K102" s="85"/>
      <c r="L102" s="85"/>
      <c r="M102" s="85"/>
      <c r="N102" s="85"/>
      <c r="O102" s="85"/>
      <c r="P102" s="85"/>
      <c r="Q102" s="85"/>
      <c r="R102" s="85"/>
      <c r="S102" s="85"/>
      <c r="T102" s="85"/>
      <c r="U102" s="85"/>
      <c r="V102" s="85"/>
      <c r="W102" s="85"/>
      <c r="X102" s="85"/>
      <c r="Y102" s="85"/>
      <c r="Z102" s="85"/>
      <c r="AA102" s="85"/>
    </row>
    <row r="103" spans="1:27" x14ac:dyDescent="0.25">
      <c r="A103" s="108"/>
      <c r="B103" s="54"/>
      <c r="C103" s="93" t="s">
        <v>367</v>
      </c>
      <c r="D103" s="644"/>
      <c r="E103" s="94" t="s">
        <v>628</v>
      </c>
      <c r="F103" s="229"/>
      <c r="G103" s="229"/>
      <c r="H103" s="64"/>
      <c r="I103" s="85"/>
      <c r="J103" s="85"/>
      <c r="K103" s="85"/>
      <c r="L103" s="85"/>
      <c r="M103" s="85"/>
      <c r="N103" s="85"/>
      <c r="O103" s="85"/>
      <c r="P103" s="85"/>
      <c r="Q103" s="85"/>
      <c r="R103" s="85"/>
      <c r="S103" s="85"/>
      <c r="T103" s="85"/>
      <c r="U103" s="85"/>
      <c r="V103" s="85"/>
      <c r="W103" s="85"/>
      <c r="X103" s="85"/>
      <c r="Y103" s="85"/>
      <c r="Z103" s="85"/>
      <c r="AA103" s="85"/>
    </row>
    <row r="104" spans="1:27" ht="30" x14ac:dyDescent="0.25">
      <c r="A104" s="108"/>
      <c r="B104" s="54"/>
      <c r="C104" s="93" t="s">
        <v>368</v>
      </c>
      <c r="D104" s="644"/>
      <c r="E104" s="94" t="s">
        <v>628</v>
      </c>
      <c r="F104" s="311" t="s">
        <v>379</v>
      </c>
      <c r="G104" s="670"/>
      <c r="H104" s="64"/>
      <c r="I104" s="85"/>
      <c r="J104" s="85"/>
      <c r="K104" s="85"/>
      <c r="L104" s="85"/>
      <c r="M104" s="85"/>
      <c r="N104" s="85"/>
      <c r="O104" s="85"/>
      <c r="P104" s="85"/>
      <c r="Q104" s="85"/>
      <c r="R104" s="85"/>
      <c r="S104" s="85"/>
      <c r="T104" s="85"/>
      <c r="U104" s="85"/>
      <c r="V104" s="85"/>
      <c r="W104" s="85"/>
      <c r="X104" s="85"/>
      <c r="Y104" s="85"/>
      <c r="Z104" s="85"/>
      <c r="AA104" s="85"/>
    </row>
    <row r="105" spans="1:27" x14ac:dyDescent="0.25">
      <c r="A105" s="108"/>
      <c r="B105" s="54"/>
      <c r="C105" s="93" t="s">
        <v>369</v>
      </c>
      <c r="D105" s="644"/>
      <c r="E105" s="94" t="s">
        <v>628</v>
      </c>
      <c r="F105" s="229"/>
      <c r="G105" s="229"/>
      <c r="H105" s="64"/>
      <c r="I105" s="85"/>
      <c r="J105" s="85"/>
      <c r="K105" s="85"/>
      <c r="L105" s="85"/>
      <c r="M105" s="85"/>
      <c r="N105" s="85"/>
      <c r="O105" s="85"/>
      <c r="P105" s="85"/>
      <c r="Q105" s="85"/>
      <c r="R105" s="85"/>
      <c r="S105" s="85"/>
      <c r="T105" s="85"/>
      <c r="U105" s="85"/>
      <c r="V105" s="85"/>
      <c r="W105" s="85"/>
      <c r="X105" s="85"/>
      <c r="Y105" s="85"/>
      <c r="Z105" s="85"/>
      <c r="AA105" s="85"/>
    </row>
    <row r="106" spans="1:27" x14ac:dyDescent="0.25">
      <c r="A106" s="108"/>
      <c r="B106" s="54"/>
      <c r="C106" s="93" t="s">
        <v>370</v>
      </c>
      <c r="D106" s="644"/>
      <c r="E106" s="94" t="s">
        <v>628</v>
      </c>
      <c r="F106" s="229"/>
      <c r="G106" s="229"/>
      <c r="H106" s="64"/>
      <c r="I106" s="85"/>
      <c r="J106" s="85"/>
      <c r="K106" s="85"/>
      <c r="L106" s="85"/>
      <c r="M106" s="85"/>
      <c r="N106" s="85"/>
      <c r="O106" s="85"/>
      <c r="P106" s="85"/>
      <c r="Q106" s="85"/>
      <c r="R106" s="85"/>
      <c r="S106" s="85"/>
      <c r="T106" s="85"/>
      <c r="U106" s="85"/>
      <c r="V106" s="85"/>
      <c r="W106" s="85"/>
      <c r="X106" s="85"/>
      <c r="Y106" s="85"/>
      <c r="Z106" s="85"/>
      <c r="AA106" s="85"/>
    </row>
    <row r="107" spans="1:27" x14ac:dyDescent="0.25">
      <c r="A107" s="108"/>
      <c r="B107" s="54"/>
      <c r="C107" s="93" t="s">
        <v>371</v>
      </c>
      <c r="D107" s="644"/>
      <c r="E107" s="94" t="s">
        <v>628</v>
      </c>
      <c r="F107" s="229"/>
      <c r="G107" s="229"/>
      <c r="H107" s="64"/>
      <c r="I107" s="85"/>
      <c r="J107" s="85"/>
      <c r="K107" s="85"/>
      <c r="L107" s="85"/>
      <c r="M107" s="85"/>
      <c r="N107" s="85"/>
      <c r="O107" s="85"/>
      <c r="P107" s="85"/>
      <c r="Q107" s="85"/>
      <c r="R107" s="85"/>
      <c r="S107" s="85"/>
      <c r="T107" s="85"/>
      <c r="U107" s="85"/>
      <c r="V107" s="85"/>
      <c r="W107" s="85"/>
      <c r="X107" s="85"/>
      <c r="Y107" s="85"/>
      <c r="Z107" s="85"/>
      <c r="AA107" s="85"/>
    </row>
    <row r="108" spans="1:27" x14ac:dyDescent="0.25">
      <c r="A108" s="108"/>
      <c r="B108" s="54"/>
      <c r="C108" s="93" t="s">
        <v>845</v>
      </c>
      <c r="D108" s="644"/>
      <c r="E108" s="94" t="s">
        <v>628</v>
      </c>
      <c r="F108" s="229"/>
      <c r="G108" s="229"/>
      <c r="H108" s="64"/>
      <c r="I108" s="85"/>
      <c r="J108" s="85"/>
      <c r="K108" s="85"/>
      <c r="L108" s="85"/>
      <c r="M108" s="85"/>
      <c r="N108" s="85"/>
      <c r="O108" s="85"/>
      <c r="P108" s="85"/>
      <c r="Q108" s="85"/>
      <c r="R108" s="85"/>
      <c r="S108" s="85"/>
      <c r="T108" s="85"/>
      <c r="U108" s="85"/>
      <c r="V108" s="85"/>
      <c r="W108" s="85"/>
      <c r="X108" s="85"/>
      <c r="Y108" s="85"/>
      <c r="Z108" s="85"/>
      <c r="AA108" s="85"/>
    </row>
    <row r="109" spans="1:27" x14ac:dyDescent="0.25">
      <c r="A109" s="108"/>
      <c r="B109" s="54"/>
      <c r="C109" s="93" t="s">
        <v>846</v>
      </c>
      <c r="D109" s="644"/>
      <c r="E109" s="94" t="s">
        <v>628</v>
      </c>
      <c r="F109" s="229"/>
      <c r="G109" s="229"/>
      <c r="H109" s="64"/>
      <c r="I109" s="85"/>
      <c r="J109" s="85"/>
      <c r="K109" s="85"/>
      <c r="L109" s="85"/>
      <c r="M109" s="85"/>
      <c r="N109" s="85"/>
      <c r="O109" s="85"/>
      <c r="P109" s="85"/>
      <c r="Q109" s="85"/>
      <c r="R109" s="85"/>
      <c r="S109" s="85"/>
      <c r="T109" s="85"/>
      <c r="U109" s="85"/>
      <c r="V109" s="85"/>
      <c r="W109" s="85"/>
      <c r="X109" s="85"/>
      <c r="Y109" s="85"/>
      <c r="Z109" s="85"/>
      <c r="AA109" s="85"/>
    </row>
    <row r="110" spans="1:27" x14ac:dyDescent="0.25">
      <c r="A110" s="108"/>
      <c r="B110" s="54"/>
      <c r="C110" s="93" t="s">
        <v>847</v>
      </c>
      <c r="D110" s="644"/>
      <c r="E110" s="94" t="s">
        <v>628</v>
      </c>
      <c r="F110" s="229"/>
      <c r="G110" s="229"/>
      <c r="H110" s="64"/>
      <c r="I110" s="85"/>
      <c r="J110" s="85"/>
      <c r="K110" s="85"/>
      <c r="L110" s="85"/>
      <c r="M110" s="85"/>
      <c r="N110" s="85"/>
      <c r="O110" s="85"/>
      <c r="P110" s="85"/>
      <c r="Q110" s="85"/>
      <c r="R110" s="85"/>
      <c r="S110" s="85"/>
      <c r="T110" s="85"/>
      <c r="U110" s="85"/>
      <c r="V110" s="85"/>
      <c r="W110" s="85"/>
      <c r="X110" s="85"/>
      <c r="Y110" s="85"/>
      <c r="Z110" s="85"/>
      <c r="AA110" s="85"/>
    </row>
    <row r="111" spans="1:27" x14ac:dyDescent="0.25">
      <c r="A111" s="108"/>
      <c r="B111" s="54"/>
      <c r="C111" s="93" t="s">
        <v>923</v>
      </c>
      <c r="D111" s="644"/>
      <c r="E111" s="94" t="s">
        <v>310</v>
      </c>
      <c r="F111" s="141" t="s">
        <v>924</v>
      </c>
      <c r="G111" s="646"/>
      <c r="H111" s="410" t="s">
        <v>709</v>
      </c>
      <c r="I111" s="85"/>
      <c r="J111" s="85"/>
      <c r="K111" s="85"/>
      <c r="L111" s="85"/>
      <c r="M111" s="85"/>
      <c r="N111" s="85"/>
      <c r="O111" s="85"/>
      <c r="P111" s="85"/>
      <c r="Q111" s="85"/>
      <c r="R111" s="85"/>
      <c r="S111" s="85"/>
      <c r="T111" s="85"/>
      <c r="U111" s="85"/>
      <c r="V111" s="85"/>
      <c r="W111" s="85"/>
      <c r="X111" s="85"/>
      <c r="Y111" s="85"/>
      <c r="Z111" s="85"/>
      <c r="AA111" s="85"/>
    </row>
    <row r="112" spans="1:27" x14ac:dyDescent="0.25">
      <c r="A112" s="108"/>
      <c r="B112" s="54"/>
      <c r="C112" s="93" t="s">
        <v>922</v>
      </c>
      <c r="D112" s="644"/>
      <c r="E112" s="94" t="s">
        <v>310</v>
      </c>
      <c r="F112" s="141" t="s">
        <v>924</v>
      </c>
      <c r="G112" s="646"/>
      <c r="H112" s="410" t="s">
        <v>709</v>
      </c>
      <c r="I112" s="85"/>
      <c r="J112" s="85"/>
      <c r="K112" s="85"/>
      <c r="L112" s="85"/>
      <c r="M112" s="85"/>
      <c r="N112" s="85"/>
      <c r="O112" s="85"/>
      <c r="P112" s="85"/>
      <c r="Q112" s="85"/>
      <c r="R112" s="85"/>
      <c r="S112" s="85"/>
      <c r="T112" s="85"/>
      <c r="U112" s="85"/>
      <c r="V112" s="85"/>
      <c r="W112" s="85"/>
      <c r="X112" s="85"/>
      <c r="Y112" s="85"/>
      <c r="Z112" s="85"/>
      <c r="AA112" s="85"/>
    </row>
    <row r="113" spans="1:27" x14ac:dyDescent="0.25">
      <c r="A113" s="108"/>
      <c r="B113" s="54"/>
      <c r="C113" s="93" t="s">
        <v>572</v>
      </c>
      <c r="D113" s="644"/>
      <c r="E113" s="94" t="s">
        <v>310</v>
      </c>
      <c r="F113" s="229"/>
      <c r="G113" s="229"/>
      <c r="H113" s="64"/>
      <c r="I113" s="85"/>
      <c r="J113" s="85"/>
      <c r="K113" s="85"/>
      <c r="L113" s="85"/>
      <c r="M113" s="85"/>
      <c r="N113" s="85"/>
      <c r="O113" s="85"/>
      <c r="P113" s="85"/>
      <c r="Q113" s="85"/>
      <c r="R113" s="85"/>
      <c r="S113" s="85"/>
      <c r="T113" s="85"/>
      <c r="U113" s="85"/>
      <c r="V113" s="85"/>
      <c r="W113" s="85"/>
      <c r="X113" s="85"/>
      <c r="Y113" s="85"/>
      <c r="Z113" s="85"/>
      <c r="AA113" s="85"/>
    </row>
    <row r="114" spans="1:27" x14ac:dyDescent="0.25">
      <c r="A114" s="108"/>
      <c r="B114" s="54"/>
      <c r="C114" s="730" t="s">
        <v>106</v>
      </c>
      <c r="D114" s="730"/>
      <c r="E114" s="730"/>
      <c r="F114" s="26"/>
      <c r="G114" s="26"/>
      <c r="H114" s="26"/>
      <c r="I114" s="85"/>
      <c r="J114" s="85"/>
      <c r="K114" s="85"/>
      <c r="L114" s="85"/>
      <c r="M114" s="85"/>
      <c r="N114" s="85"/>
      <c r="O114" s="85"/>
      <c r="P114" s="85"/>
      <c r="Q114" s="85"/>
      <c r="R114" s="85"/>
      <c r="S114" s="85"/>
      <c r="T114" s="85"/>
      <c r="U114" s="85"/>
      <c r="V114" s="85"/>
      <c r="W114" s="85"/>
      <c r="X114" s="85"/>
      <c r="Y114" s="85"/>
      <c r="Z114" s="85"/>
      <c r="AA114" s="85"/>
    </row>
    <row r="115" spans="1:27" x14ac:dyDescent="0.25">
      <c r="A115" s="108"/>
      <c r="B115" s="54"/>
      <c r="C115" s="91" t="s">
        <v>392</v>
      </c>
      <c r="D115" s="644"/>
      <c r="E115" s="94" t="s">
        <v>605</v>
      </c>
      <c r="F115" s="26"/>
      <c r="G115" s="26"/>
      <c r="H115" s="26"/>
      <c r="I115" s="85"/>
      <c r="J115" s="85"/>
      <c r="K115" s="85"/>
      <c r="L115" s="85"/>
      <c r="M115" s="85"/>
      <c r="N115" s="85"/>
      <c r="O115" s="85"/>
      <c r="P115" s="85"/>
      <c r="Q115" s="85"/>
      <c r="R115" s="85"/>
      <c r="S115" s="85"/>
      <c r="T115" s="85"/>
      <c r="U115" s="85"/>
      <c r="V115" s="85"/>
      <c r="W115" s="85"/>
      <c r="X115" s="85"/>
      <c r="Y115" s="85"/>
      <c r="Z115" s="85"/>
      <c r="AA115" s="85"/>
    </row>
    <row r="116" spans="1:27" x14ac:dyDescent="0.25">
      <c r="A116" s="108"/>
      <c r="B116" s="54"/>
      <c r="C116" s="91" t="s">
        <v>134</v>
      </c>
      <c r="D116" s="670"/>
      <c r="E116" s="94"/>
      <c r="F116" s="26"/>
      <c r="G116" s="26"/>
      <c r="H116" s="26"/>
      <c r="I116" s="85"/>
      <c r="J116" s="85"/>
      <c r="K116" s="85"/>
      <c r="L116" s="85"/>
      <c r="M116" s="85"/>
      <c r="N116" s="85"/>
      <c r="O116" s="85"/>
      <c r="P116" s="85"/>
      <c r="Q116" s="85"/>
      <c r="R116" s="85"/>
      <c r="S116" s="85"/>
      <c r="T116" s="85"/>
      <c r="U116" s="85"/>
      <c r="V116" s="85"/>
      <c r="W116" s="85"/>
      <c r="X116" s="85"/>
      <c r="Y116" s="85"/>
      <c r="Z116" s="85"/>
      <c r="AA116" s="85"/>
    </row>
    <row r="117" spans="1:27" x14ac:dyDescent="0.25">
      <c r="A117" s="108"/>
      <c r="B117" s="54"/>
      <c r="C117" s="91" t="s">
        <v>257</v>
      </c>
      <c r="D117" s="644"/>
      <c r="E117" s="94" t="s">
        <v>258</v>
      </c>
      <c r="F117" s="26"/>
      <c r="G117" s="26"/>
      <c r="H117" s="26"/>
      <c r="I117" s="85"/>
      <c r="J117" s="85"/>
      <c r="K117" s="85"/>
      <c r="L117" s="85"/>
      <c r="M117" s="85"/>
      <c r="N117" s="85"/>
      <c r="O117" s="85"/>
      <c r="P117" s="85"/>
      <c r="Q117" s="85"/>
      <c r="R117" s="85"/>
      <c r="S117" s="85"/>
      <c r="T117" s="85"/>
      <c r="U117" s="85"/>
      <c r="V117" s="85"/>
      <c r="W117" s="85"/>
      <c r="X117" s="85"/>
      <c r="Y117" s="85"/>
      <c r="Z117" s="85"/>
      <c r="AA117" s="85"/>
    </row>
    <row r="118" spans="1:27" x14ac:dyDescent="0.25">
      <c r="A118" s="108"/>
      <c r="B118" s="54"/>
      <c r="C118" s="730" t="s">
        <v>346</v>
      </c>
      <c r="D118" s="730"/>
      <c r="E118" s="730"/>
      <c r="F118" s="26"/>
      <c r="G118" s="26"/>
      <c r="H118" s="26"/>
      <c r="I118" s="85"/>
      <c r="J118" s="85"/>
      <c r="K118" s="85"/>
      <c r="L118" s="85"/>
      <c r="M118" s="85"/>
      <c r="N118" s="85"/>
      <c r="O118" s="85"/>
      <c r="P118" s="85"/>
      <c r="Q118" s="85"/>
      <c r="R118" s="85"/>
      <c r="S118" s="85"/>
      <c r="T118" s="85"/>
      <c r="U118" s="85"/>
      <c r="V118" s="85"/>
      <c r="W118" s="85"/>
      <c r="X118" s="85"/>
      <c r="Y118" s="85"/>
      <c r="Z118" s="85"/>
      <c r="AA118" s="85"/>
    </row>
    <row r="119" spans="1:27" x14ac:dyDescent="0.25">
      <c r="A119" s="108"/>
      <c r="B119" s="54"/>
      <c r="C119" s="91" t="s">
        <v>392</v>
      </c>
      <c r="D119" s="644"/>
      <c r="E119" s="94" t="s">
        <v>605</v>
      </c>
      <c r="F119" s="26"/>
      <c r="G119" s="26"/>
      <c r="H119" s="26"/>
      <c r="I119" s="85"/>
      <c r="J119" s="85"/>
      <c r="K119" s="85"/>
      <c r="L119" s="85"/>
      <c r="M119" s="85"/>
      <c r="N119" s="85"/>
      <c r="O119" s="85"/>
      <c r="P119" s="85"/>
      <c r="Q119" s="85"/>
      <c r="R119" s="85"/>
      <c r="S119" s="85"/>
      <c r="T119" s="85"/>
      <c r="U119" s="85"/>
      <c r="V119" s="85"/>
      <c r="W119" s="85"/>
      <c r="X119" s="85"/>
      <c r="Y119" s="85"/>
      <c r="Z119" s="85"/>
      <c r="AA119" s="85"/>
    </row>
    <row r="120" spans="1:27" x14ac:dyDescent="0.25">
      <c r="A120" s="108"/>
      <c r="B120" s="54"/>
      <c r="C120" s="91" t="s">
        <v>134</v>
      </c>
      <c r="D120" s="670"/>
      <c r="E120" s="94"/>
      <c r="F120" s="26"/>
      <c r="G120" s="26"/>
      <c r="H120" s="26"/>
      <c r="I120" s="85"/>
      <c r="J120" s="85"/>
      <c r="K120" s="85"/>
      <c r="L120" s="85"/>
      <c r="M120" s="85"/>
      <c r="N120" s="85"/>
      <c r="O120" s="85"/>
      <c r="P120" s="85"/>
      <c r="Q120" s="85"/>
      <c r="R120" s="85"/>
      <c r="S120" s="85"/>
      <c r="T120" s="85"/>
      <c r="U120" s="85"/>
      <c r="V120" s="85"/>
      <c r="W120" s="85"/>
      <c r="X120" s="85"/>
      <c r="Y120" s="85"/>
      <c r="Z120" s="85"/>
      <c r="AA120" s="85"/>
    </row>
    <row r="121" spans="1:27" x14ac:dyDescent="0.25">
      <c r="A121" s="108"/>
      <c r="B121" s="54"/>
      <c r="C121" s="91" t="s">
        <v>257</v>
      </c>
      <c r="D121" s="644"/>
      <c r="E121" s="94" t="s">
        <v>258</v>
      </c>
      <c r="F121" s="26"/>
      <c r="G121" s="26"/>
      <c r="H121" s="26"/>
      <c r="I121" s="85"/>
      <c r="J121" s="85"/>
      <c r="K121" s="85"/>
      <c r="L121" s="85"/>
      <c r="M121" s="85"/>
      <c r="N121" s="85"/>
      <c r="O121" s="85"/>
      <c r="P121" s="85"/>
      <c r="Q121" s="85"/>
      <c r="R121" s="85"/>
      <c r="S121" s="85"/>
      <c r="T121" s="85"/>
      <c r="U121" s="85"/>
      <c r="V121" s="85"/>
      <c r="W121" s="85"/>
      <c r="X121" s="85"/>
      <c r="Y121" s="85"/>
      <c r="Z121" s="85"/>
      <c r="AA121" s="85"/>
    </row>
    <row r="122" spans="1:27" x14ac:dyDescent="0.25">
      <c r="A122" s="108"/>
      <c r="B122" s="54"/>
      <c r="C122" s="730" t="s">
        <v>466</v>
      </c>
      <c r="D122" s="730"/>
      <c r="E122" s="730"/>
      <c r="F122" s="26"/>
      <c r="G122" s="26"/>
      <c r="H122" s="26"/>
      <c r="I122" s="85"/>
      <c r="J122" s="85"/>
      <c r="K122" s="85"/>
      <c r="L122" s="85"/>
      <c r="M122" s="85"/>
      <c r="N122" s="85"/>
      <c r="O122" s="85"/>
      <c r="P122" s="85"/>
      <c r="Q122" s="85"/>
      <c r="R122" s="85"/>
      <c r="S122" s="85"/>
      <c r="T122" s="85"/>
      <c r="U122" s="85"/>
      <c r="V122" s="85"/>
      <c r="W122" s="85"/>
      <c r="X122" s="85"/>
      <c r="Y122" s="85"/>
      <c r="Z122" s="85"/>
      <c r="AA122" s="85"/>
    </row>
    <row r="123" spans="1:27" x14ac:dyDescent="0.25">
      <c r="A123" s="108"/>
      <c r="B123" s="54"/>
      <c r="C123" s="91" t="s">
        <v>392</v>
      </c>
      <c r="D123" s="644"/>
      <c r="E123" s="94" t="s">
        <v>605</v>
      </c>
      <c r="F123" s="26"/>
      <c r="G123" s="26"/>
      <c r="H123" s="26"/>
      <c r="I123" s="85"/>
      <c r="J123" s="85"/>
      <c r="K123" s="85"/>
      <c r="L123" s="85"/>
      <c r="M123" s="85"/>
      <c r="N123" s="85"/>
      <c r="O123" s="85"/>
      <c r="P123" s="85"/>
      <c r="Q123" s="85"/>
      <c r="R123" s="85"/>
      <c r="S123" s="85"/>
      <c r="T123" s="85"/>
      <c r="U123" s="85"/>
      <c r="V123" s="85"/>
      <c r="W123" s="85"/>
      <c r="X123" s="85"/>
      <c r="Y123" s="85"/>
      <c r="Z123" s="85"/>
      <c r="AA123" s="85"/>
    </row>
    <row r="124" spans="1:27" x14ac:dyDescent="0.25">
      <c r="A124" s="108"/>
      <c r="B124" s="54"/>
      <c r="C124" s="91" t="s">
        <v>134</v>
      </c>
      <c r="D124" s="670"/>
      <c r="E124" s="94"/>
      <c r="F124" s="26"/>
      <c r="G124" s="26"/>
      <c r="H124" s="26"/>
      <c r="I124" s="85"/>
      <c r="J124" s="85"/>
      <c r="K124" s="85"/>
      <c r="L124" s="85"/>
      <c r="M124" s="85"/>
      <c r="N124" s="85"/>
      <c r="O124" s="85"/>
      <c r="P124" s="85"/>
      <c r="Q124" s="85"/>
      <c r="R124" s="85"/>
      <c r="S124" s="85"/>
      <c r="T124" s="85"/>
      <c r="U124" s="85"/>
      <c r="V124" s="85"/>
      <c r="W124" s="85"/>
      <c r="X124" s="85"/>
      <c r="Y124" s="85"/>
      <c r="Z124" s="85"/>
      <c r="AA124" s="85"/>
    </row>
    <row r="125" spans="1:27" x14ac:dyDescent="0.25">
      <c r="A125" s="108"/>
      <c r="B125" s="54"/>
      <c r="C125" s="91" t="s">
        <v>257</v>
      </c>
      <c r="D125" s="644"/>
      <c r="E125" s="94" t="s">
        <v>258</v>
      </c>
      <c r="F125" s="26"/>
      <c r="G125" s="26"/>
      <c r="H125" s="26"/>
      <c r="I125" s="85"/>
      <c r="J125" s="85"/>
      <c r="K125" s="85"/>
      <c r="L125" s="85"/>
      <c r="M125" s="85"/>
      <c r="N125" s="85"/>
      <c r="O125" s="85"/>
      <c r="P125" s="85"/>
      <c r="Q125" s="85"/>
      <c r="R125" s="85"/>
      <c r="S125" s="85"/>
      <c r="T125" s="85"/>
      <c r="U125" s="85"/>
      <c r="V125" s="85"/>
      <c r="W125" s="85"/>
      <c r="X125" s="85"/>
      <c r="Y125" s="85"/>
      <c r="Z125" s="85"/>
      <c r="AA125" s="85"/>
    </row>
    <row r="126" spans="1:27" x14ac:dyDescent="0.25">
      <c r="A126" s="108"/>
      <c r="B126" s="54"/>
      <c r="C126" s="730" t="s">
        <v>259</v>
      </c>
      <c r="D126" s="730"/>
      <c r="E126" s="730"/>
      <c r="F126" s="26"/>
      <c r="G126" s="26"/>
      <c r="H126" s="26"/>
      <c r="I126" s="85"/>
      <c r="J126" s="85"/>
      <c r="K126" s="85"/>
      <c r="L126" s="85"/>
      <c r="M126" s="85"/>
      <c r="N126" s="85"/>
      <c r="O126" s="85"/>
      <c r="P126" s="85"/>
      <c r="Q126" s="85"/>
      <c r="R126" s="85"/>
      <c r="S126" s="85"/>
      <c r="T126" s="85"/>
      <c r="U126" s="85"/>
      <c r="V126" s="85"/>
      <c r="W126" s="85"/>
      <c r="X126" s="85"/>
      <c r="Y126" s="85"/>
      <c r="Z126" s="85"/>
      <c r="AA126" s="85"/>
    </row>
    <row r="127" spans="1:27" x14ac:dyDescent="0.25">
      <c r="A127" s="108"/>
      <c r="B127" s="54"/>
      <c r="C127" s="91" t="s">
        <v>392</v>
      </c>
      <c r="D127" s="644"/>
      <c r="E127" s="94" t="s">
        <v>605</v>
      </c>
      <c r="F127" s="26"/>
      <c r="G127" s="26"/>
      <c r="H127" s="26"/>
      <c r="I127" s="85"/>
      <c r="J127" s="85"/>
      <c r="K127" s="85"/>
      <c r="L127" s="85"/>
      <c r="M127" s="85"/>
      <c r="N127" s="85"/>
      <c r="O127" s="85"/>
      <c r="P127" s="85"/>
      <c r="Q127" s="85"/>
      <c r="R127" s="85"/>
      <c r="S127" s="85"/>
      <c r="T127" s="85"/>
      <c r="U127" s="85"/>
      <c r="V127" s="85"/>
      <c r="W127" s="85"/>
      <c r="X127" s="85"/>
      <c r="Y127" s="85"/>
      <c r="Z127" s="85"/>
      <c r="AA127" s="85"/>
    </row>
    <row r="128" spans="1:27" x14ac:dyDescent="0.25">
      <c r="A128" s="108"/>
      <c r="B128" s="54"/>
      <c r="C128" s="91" t="s">
        <v>134</v>
      </c>
      <c r="D128" s="670"/>
      <c r="E128" s="94"/>
      <c r="F128" s="26"/>
      <c r="G128" s="26"/>
      <c r="H128" s="26"/>
      <c r="I128" s="85"/>
      <c r="J128" s="85"/>
      <c r="K128" s="85"/>
      <c r="L128" s="85"/>
      <c r="M128" s="85"/>
      <c r="N128" s="85"/>
      <c r="O128" s="85"/>
      <c r="P128" s="85"/>
      <c r="Q128" s="85"/>
      <c r="R128" s="85"/>
      <c r="S128" s="85"/>
      <c r="T128" s="85"/>
      <c r="U128" s="85"/>
      <c r="V128" s="85"/>
      <c r="W128" s="85"/>
      <c r="X128" s="85"/>
      <c r="Y128" s="85"/>
      <c r="Z128" s="85"/>
      <c r="AA128" s="85"/>
    </row>
    <row r="129" spans="1:27" x14ac:dyDescent="0.25">
      <c r="A129" s="108"/>
      <c r="B129" s="54"/>
      <c r="C129" s="91" t="s">
        <v>257</v>
      </c>
      <c r="D129" s="644"/>
      <c r="E129" s="94" t="s">
        <v>258</v>
      </c>
      <c r="F129" s="26"/>
      <c r="G129" s="26"/>
      <c r="H129" s="26"/>
      <c r="I129" s="85"/>
      <c r="J129" s="85"/>
      <c r="K129" s="85"/>
      <c r="L129" s="85"/>
      <c r="M129" s="85"/>
      <c r="N129" s="85"/>
      <c r="O129" s="85"/>
      <c r="P129" s="85"/>
      <c r="Q129" s="85"/>
      <c r="R129" s="85"/>
      <c r="S129" s="85"/>
      <c r="T129" s="85"/>
      <c r="U129" s="85"/>
      <c r="V129" s="85"/>
      <c r="W129" s="85"/>
      <c r="X129" s="85"/>
      <c r="Y129" s="85"/>
      <c r="Z129" s="85"/>
      <c r="AA129" s="85"/>
    </row>
    <row r="130" spans="1:27" x14ac:dyDescent="0.25">
      <c r="A130" s="108"/>
      <c r="B130" s="54"/>
      <c r="C130" s="730" t="s">
        <v>573</v>
      </c>
      <c r="D130" s="730"/>
      <c r="E130" s="730"/>
      <c r="F130" s="26"/>
      <c r="G130" s="26"/>
      <c r="H130" s="26"/>
      <c r="I130" s="85"/>
      <c r="J130" s="85"/>
      <c r="K130" s="85"/>
      <c r="L130" s="85"/>
      <c r="M130" s="85"/>
      <c r="N130" s="85"/>
      <c r="O130" s="85"/>
      <c r="P130" s="85"/>
      <c r="Q130" s="85"/>
      <c r="R130" s="85"/>
      <c r="S130" s="85"/>
      <c r="T130" s="85"/>
      <c r="U130" s="85"/>
      <c r="V130" s="85"/>
      <c r="W130" s="85"/>
      <c r="X130" s="85"/>
      <c r="Y130" s="85"/>
      <c r="Z130" s="85"/>
      <c r="AA130" s="85"/>
    </row>
    <row r="131" spans="1:27" x14ac:dyDescent="0.25">
      <c r="A131" s="108"/>
      <c r="B131" s="54"/>
      <c r="C131" s="91" t="s">
        <v>392</v>
      </c>
      <c r="D131" s="644"/>
      <c r="E131" s="94" t="s">
        <v>605</v>
      </c>
      <c r="F131" s="26"/>
      <c r="G131" s="26"/>
      <c r="H131" s="26"/>
      <c r="I131" s="85"/>
      <c r="J131" s="85"/>
      <c r="K131" s="85"/>
      <c r="L131" s="85"/>
      <c r="M131" s="85"/>
      <c r="N131" s="85"/>
      <c r="O131" s="85"/>
      <c r="P131" s="85"/>
      <c r="Q131" s="85"/>
      <c r="R131" s="85"/>
      <c r="S131" s="85"/>
      <c r="T131" s="85"/>
      <c r="U131" s="85"/>
      <c r="V131" s="85"/>
      <c r="W131" s="85"/>
      <c r="X131" s="85"/>
      <c r="Y131" s="85"/>
      <c r="Z131" s="85"/>
      <c r="AA131" s="85"/>
    </row>
    <row r="132" spans="1:27" x14ac:dyDescent="0.25">
      <c r="A132" s="108"/>
      <c r="B132" s="54"/>
      <c r="C132" s="91" t="s">
        <v>134</v>
      </c>
      <c r="D132" s="670"/>
      <c r="E132" s="94"/>
      <c r="F132" s="26"/>
      <c r="G132" s="26"/>
      <c r="H132" s="26"/>
      <c r="I132" s="85"/>
      <c r="J132" s="85"/>
      <c r="K132" s="85"/>
      <c r="L132" s="85"/>
      <c r="M132" s="85"/>
      <c r="N132" s="85"/>
      <c r="O132" s="85"/>
      <c r="P132" s="85"/>
      <c r="Q132" s="85"/>
      <c r="R132" s="85"/>
      <c r="S132" s="85"/>
      <c r="T132" s="85"/>
      <c r="U132" s="85"/>
      <c r="V132" s="85"/>
      <c r="W132" s="85"/>
      <c r="X132" s="85"/>
      <c r="Y132" s="85"/>
      <c r="Z132" s="85"/>
      <c r="AA132" s="85"/>
    </row>
    <row r="133" spans="1:27" x14ac:dyDescent="0.25">
      <c r="A133" s="108"/>
      <c r="B133" s="54"/>
      <c r="C133" s="91" t="s">
        <v>257</v>
      </c>
      <c r="D133" s="644"/>
      <c r="E133" s="94" t="s">
        <v>258</v>
      </c>
      <c r="F133" s="26"/>
      <c r="G133" s="26"/>
      <c r="H133" s="26"/>
      <c r="I133" s="85"/>
      <c r="J133" s="85"/>
      <c r="K133" s="85"/>
      <c r="L133" s="85"/>
      <c r="M133" s="85"/>
      <c r="N133" s="85"/>
      <c r="O133" s="85"/>
      <c r="P133" s="85"/>
      <c r="Q133" s="85"/>
      <c r="R133" s="85"/>
      <c r="S133" s="85"/>
      <c r="T133" s="85"/>
      <c r="U133" s="85"/>
      <c r="V133" s="85"/>
      <c r="W133" s="85"/>
      <c r="X133" s="85"/>
      <c r="Y133" s="85"/>
      <c r="Z133" s="85"/>
      <c r="AA133" s="85"/>
    </row>
    <row r="134" spans="1:27" ht="6" customHeight="1" x14ac:dyDescent="0.25">
      <c r="A134" s="108"/>
      <c r="B134" s="29"/>
      <c r="C134" s="24"/>
      <c r="D134" s="25"/>
      <c r="E134" s="25"/>
      <c r="F134" s="24"/>
      <c r="G134" s="24"/>
      <c r="H134" s="24"/>
      <c r="I134" s="85"/>
      <c r="J134" s="85"/>
      <c r="K134" s="85"/>
      <c r="L134" s="85"/>
      <c r="M134" s="85"/>
      <c r="N134" s="85"/>
      <c r="O134" s="85"/>
      <c r="P134" s="85"/>
      <c r="Q134" s="85"/>
      <c r="R134" s="85"/>
      <c r="S134" s="85"/>
      <c r="T134" s="85"/>
      <c r="U134" s="85"/>
      <c r="V134" s="85"/>
      <c r="W134" s="85"/>
      <c r="X134" s="85"/>
      <c r="Y134" s="85"/>
      <c r="Z134" s="85"/>
      <c r="AA134" s="85"/>
    </row>
    <row r="135" spans="1:27" x14ac:dyDescent="0.25">
      <c r="A135" s="108"/>
      <c r="B135" s="108"/>
      <c r="C135" s="108"/>
      <c r="D135" s="108"/>
      <c r="E135" s="108"/>
      <c r="F135" s="108"/>
      <c r="G135" s="108"/>
      <c r="H135" s="108"/>
      <c r="I135" s="108"/>
      <c r="J135" s="108"/>
      <c r="K135" s="108"/>
      <c r="L135" s="85"/>
      <c r="M135" s="85"/>
      <c r="N135" s="85"/>
      <c r="O135" s="85"/>
      <c r="P135" s="85"/>
      <c r="Q135" s="85"/>
      <c r="R135" s="85"/>
      <c r="S135" s="85"/>
      <c r="T135" s="85"/>
      <c r="U135" s="85"/>
      <c r="V135" s="85"/>
      <c r="W135" s="85"/>
      <c r="X135" s="85"/>
      <c r="Y135" s="85"/>
      <c r="Z135" s="85"/>
      <c r="AA135" s="85"/>
    </row>
    <row r="136" spans="1:27" ht="18.75" x14ac:dyDescent="0.25">
      <c r="A136" s="108"/>
      <c r="B136" s="732" t="s">
        <v>961</v>
      </c>
      <c r="C136" s="732"/>
      <c r="D136" s="732"/>
      <c r="E136" s="732"/>
      <c r="F136" s="732"/>
      <c r="G136" s="732"/>
      <c r="H136" s="732"/>
      <c r="I136" s="85"/>
      <c r="J136" s="85"/>
      <c r="K136" s="85"/>
      <c r="L136" s="85"/>
      <c r="M136" s="85"/>
      <c r="N136" s="85"/>
      <c r="O136" s="85"/>
      <c r="P136" s="85"/>
      <c r="Q136" s="85"/>
      <c r="R136" s="85"/>
      <c r="S136" s="85"/>
      <c r="T136" s="85"/>
      <c r="U136" s="85"/>
      <c r="V136" s="85"/>
      <c r="W136" s="85"/>
      <c r="X136" s="85"/>
      <c r="Y136" s="85"/>
      <c r="Z136" s="85"/>
      <c r="AA136" s="85"/>
    </row>
    <row r="137" spans="1:27" ht="6" customHeight="1" x14ac:dyDescent="0.25">
      <c r="A137" s="108"/>
      <c r="B137" s="108"/>
      <c r="C137" s="108"/>
      <c r="D137" s="108"/>
      <c r="E137" s="108"/>
      <c r="F137" s="108"/>
      <c r="G137" s="108"/>
      <c r="H137" s="108"/>
      <c r="I137" s="108"/>
      <c r="J137" s="85"/>
      <c r="K137" s="85"/>
      <c r="L137" s="85"/>
      <c r="M137" s="85"/>
      <c r="N137" s="85"/>
      <c r="O137" s="85"/>
      <c r="P137" s="85"/>
      <c r="Q137" s="85"/>
      <c r="R137" s="85"/>
      <c r="S137" s="85"/>
      <c r="T137" s="85"/>
      <c r="U137" s="85"/>
      <c r="V137" s="85"/>
      <c r="W137" s="85"/>
      <c r="X137" s="85"/>
      <c r="Y137" s="85"/>
      <c r="Z137" s="85"/>
      <c r="AA137" s="85"/>
    </row>
    <row r="138" spans="1:27" x14ac:dyDescent="0.25">
      <c r="A138" s="108"/>
      <c r="B138" s="54"/>
      <c r="C138" s="730" t="s">
        <v>45</v>
      </c>
      <c r="D138" s="730"/>
      <c r="E138" s="730"/>
      <c r="F138" s="26"/>
      <c r="G138" s="43"/>
      <c r="H138" s="73"/>
      <c r="I138" s="85"/>
      <c r="J138" s="85"/>
      <c r="K138" s="85"/>
      <c r="L138" s="85"/>
      <c r="M138" s="85"/>
      <c r="N138" s="85"/>
      <c r="O138" s="85"/>
      <c r="P138" s="85"/>
      <c r="Q138" s="85"/>
      <c r="R138" s="85"/>
      <c r="S138" s="85"/>
      <c r="T138" s="85"/>
      <c r="U138" s="85"/>
      <c r="V138" s="85"/>
      <c r="W138" s="85"/>
      <c r="X138" s="85"/>
      <c r="Y138" s="85"/>
      <c r="Z138" s="85"/>
      <c r="AA138" s="85"/>
    </row>
    <row r="139" spans="1:27" x14ac:dyDescent="0.25">
      <c r="A139" s="108"/>
      <c r="B139" s="26"/>
      <c r="C139" s="91" t="s">
        <v>278</v>
      </c>
      <c r="D139" s="670">
        <v>1</v>
      </c>
      <c r="E139" s="659" t="str">
        <f>IF((SUM(D139:D140)=1),"","A soma das porcentagens de distribuição deve ser igual a 100%!")</f>
        <v/>
      </c>
      <c r="F139" s="26"/>
      <c r="G139" s="26"/>
      <c r="H139" s="73"/>
      <c r="I139" s="85"/>
      <c r="J139" s="85"/>
      <c r="K139" s="85"/>
      <c r="L139" s="85"/>
      <c r="M139" s="85"/>
      <c r="N139" s="85"/>
      <c r="O139" s="85"/>
      <c r="P139" s="85"/>
      <c r="Q139" s="85"/>
      <c r="R139" s="85"/>
      <c r="S139" s="85"/>
      <c r="T139" s="85"/>
      <c r="U139" s="85"/>
      <c r="V139" s="85"/>
      <c r="W139" s="85"/>
      <c r="X139" s="85"/>
      <c r="Y139" s="85"/>
      <c r="Z139" s="85"/>
      <c r="AA139" s="85"/>
    </row>
    <row r="140" spans="1:27" x14ac:dyDescent="0.25">
      <c r="A140" s="108"/>
      <c r="B140" s="26"/>
      <c r="C140" s="91" t="s">
        <v>896</v>
      </c>
      <c r="D140" s="670">
        <v>0</v>
      </c>
      <c r="E140" s="25"/>
      <c r="F140" s="26"/>
      <c r="G140" s="26"/>
      <c r="H140" s="73"/>
      <c r="I140" s="85"/>
      <c r="J140" s="85"/>
      <c r="K140" s="85"/>
      <c r="L140" s="85"/>
      <c r="M140" s="85"/>
      <c r="N140" s="85"/>
      <c r="O140" s="85"/>
      <c r="P140" s="85"/>
      <c r="Q140" s="85"/>
      <c r="R140" s="85"/>
      <c r="S140" s="85"/>
      <c r="T140" s="85"/>
      <c r="U140" s="85"/>
      <c r="V140" s="85"/>
      <c r="W140" s="85"/>
      <c r="X140" s="85"/>
      <c r="Y140" s="85"/>
      <c r="Z140" s="85"/>
      <c r="AA140" s="85"/>
    </row>
    <row r="141" spans="1:27" ht="6" customHeight="1" x14ac:dyDescent="0.25">
      <c r="A141" s="108"/>
      <c r="B141" s="26"/>
      <c r="C141" s="26"/>
      <c r="D141" s="25"/>
      <c r="E141" s="25"/>
      <c r="F141" s="26"/>
      <c r="G141" s="26"/>
      <c r="H141" s="73"/>
      <c r="I141" s="85"/>
      <c r="J141" s="85"/>
      <c r="K141" s="85"/>
      <c r="L141" s="85"/>
      <c r="M141" s="85"/>
      <c r="N141" s="85"/>
      <c r="O141" s="85"/>
      <c r="P141" s="85"/>
      <c r="Q141" s="85"/>
      <c r="R141" s="85"/>
      <c r="S141" s="85"/>
      <c r="T141" s="85"/>
      <c r="U141" s="85"/>
      <c r="V141" s="85"/>
      <c r="W141" s="85"/>
      <c r="X141" s="85"/>
      <c r="Y141" s="85"/>
      <c r="Z141" s="85"/>
      <c r="AA141" s="85"/>
    </row>
    <row r="142" spans="1:27" ht="6" customHeight="1" x14ac:dyDescent="0.25">
      <c r="A142" s="108"/>
      <c r="B142" s="108"/>
      <c r="C142" s="108"/>
      <c r="D142" s="108"/>
      <c r="E142" s="108"/>
      <c r="F142" s="108"/>
      <c r="G142" s="108"/>
      <c r="H142" s="108"/>
      <c r="I142" s="85"/>
      <c r="J142" s="85"/>
      <c r="K142" s="85"/>
      <c r="L142" s="85"/>
      <c r="M142" s="85"/>
      <c r="N142" s="85"/>
      <c r="O142" s="85"/>
      <c r="P142" s="85"/>
      <c r="Q142" s="85"/>
      <c r="R142" s="85"/>
      <c r="S142" s="85"/>
      <c r="T142" s="85"/>
      <c r="U142" s="85"/>
      <c r="V142" s="85"/>
      <c r="W142" s="85"/>
      <c r="X142" s="85"/>
      <c r="Y142" s="85"/>
      <c r="Z142" s="85"/>
      <c r="AA142" s="85"/>
    </row>
    <row r="143" spans="1:27" x14ac:dyDescent="0.25">
      <c r="A143" s="108"/>
      <c r="B143" s="54"/>
      <c r="C143" s="730" t="s">
        <v>46</v>
      </c>
      <c r="D143" s="730"/>
      <c r="E143" s="730"/>
      <c r="F143" s="26"/>
      <c r="G143" s="43"/>
      <c r="H143" s="73"/>
      <c r="I143" s="85"/>
      <c r="J143" s="85"/>
      <c r="K143" s="85"/>
      <c r="L143" s="85"/>
      <c r="M143" s="85"/>
      <c r="N143" s="85"/>
      <c r="O143" s="85"/>
      <c r="P143" s="85"/>
      <c r="Q143" s="85"/>
      <c r="R143" s="85"/>
      <c r="S143" s="85"/>
      <c r="T143" s="85"/>
      <c r="U143" s="85"/>
      <c r="V143" s="85"/>
      <c r="W143" s="85"/>
      <c r="X143" s="85"/>
      <c r="Y143" s="85"/>
      <c r="Z143" s="85"/>
      <c r="AA143" s="85"/>
    </row>
    <row r="144" spans="1:27" x14ac:dyDescent="0.25">
      <c r="A144" s="108"/>
      <c r="B144" s="26"/>
      <c r="C144" s="91" t="s">
        <v>278</v>
      </c>
      <c r="D144" s="670">
        <v>1</v>
      </c>
      <c r="E144" s="659" t="str">
        <f>IF((SUM(D144:D145)=1),"","A soma das porcentagens de distribuição deve ser igual a 100%!")</f>
        <v/>
      </c>
      <c r="F144" s="26"/>
      <c r="G144" s="26"/>
      <c r="H144" s="73"/>
      <c r="I144" s="85"/>
      <c r="J144" s="85"/>
      <c r="K144" s="85"/>
      <c r="L144" s="85"/>
      <c r="M144" s="85"/>
      <c r="N144" s="85"/>
      <c r="O144" s="85"/>
      <c r="P144" s="85"/>
      <c r="Q144" s="85"/>
      <c r="R144" s="85"/>
      <c r="S144" s="85"/>
      <c r="T144" s="85"/>
      <c r="U144" s="85"/>
      <c r="V144" s="85"/>
      <c r="W144" s="85"/>
      <c r="X144" s="85"/>
      <c r="Y144" s="85"/>
      <c r="Z144" s="85"/>
      <c r="AA144" s="85"/>
    </row>
    <row r="145" spans="1:27" x14ac:dyDescent="0.25">
      <c r="A145" s="108"/>
      <c r="B145" s="26"/>
      <c r="C145" s="91" t="s">
        <v>896</v>
      </c>
      <c r="D145" s="670">
        <v>0</v>
      </c>
      <c r="E145" s="25"/>
      <c r="F145" s="26"/>
      <c r="G145" s="26"/>
      <c r="H145" s="73"/>
      <c r="I145" s="85"/>
      <c r="J145" s="85"/>
      <c r="K145" s="85"/>
      <c r="L145" s="85"/>
      <c r="M145" s="85"/>
      <c r="N145" s="85"/>
      <c r="O145" s="85"/>
      <c r="P145" s="85"/>
      <c r="Q145" s="85"/>
      <c r="R145" s="85"/>
      <c r="S145" s="85"/>
      <c r="T145" s="85"/>
      <c r="U145" s="85"/>
      <c r="V145" s="85"/>
      <c r="W145" s="85"/>
      <c r="X145" s="85"/>
      <c r="Y145" s="85"/>
      <c r="Z145" s="85"/>
      <c r="AA145" s="85"/>
    </row>
    <row r="146" spans="1:27" ht="6" customHeight="1" x14ac:dyDescent="0.25">
      <c r="A146" s="108"/>
      <c r="B146" s="26"/>
      <c r="C146" s="26"/>
      <c r="D146" s="25"/>
      <c r="E146" s="25"/>
      <c r="F146" s="26"/>
      <c r="G146" s="26"/>
      <c r="H146" s="73"/>
    </row>
    <row r="147" spans="1:27" x14ac:dyDescent="0.25">
      <c r="A147" s="108"/>
      <c r="D147" s="42"/>
    </row>
    <row r="148" spans="1:27" x14ac:dyDescent="0.25">
      <c r="A148" s="108"/>
      <c r="D148" s="42"/>
    </row>
    <row r="149" spans="1:27" x14ac:dyDescent="0.25">
      <c r="A149" s="108"/>
      <c r="D149" s="42"/>
    </row>
    <row r="150" spans="1:27" x14ac:dyDescent="0.25">
      <c r="A150" s="108"/>
      <c r="D150" s="42"/>
    </row>
    <row r="151" spans="1:27" x14ac:dyDescent="0.25">
      <c r="A151" s="108"/>
      <c r="D151" s="42"/>
    </row>
    <row r="152" spans="1:27" x14ac:dyDescent="0.25">
      <c r="A152" s="108"/>
      <c r="D152" s="42"/>
    </row>
    <row r="153" spans="1:27" x14ac:dyDescent="0.25">
      <c r="A153" s="108"/>
      <c r="D153" s="42"/>
    </row>
    <row r="154" spans="1:27" x14ac:dyDescent="0.25">
      <c r="A154" s="108"/>
      <c r="D154" s="42"/>
    </row>
    <row r="155" spans="1:27" x14ac:dyDescent="0.25">
      <c r="A155" s="108"/>
      <c r="D155" s="42"/>
    </row>
    <row r="156" spans="1:27" x14ac:dyDescent="0.25">
      <c r="A156" s="108"/>
      <c r="D156" s="42"/>
    </row>
    <row r="157" spans="1:27" x14ac:dyDescent="0.25">
      <c r="A157" s="108"/>
      <c r="D157" s="42"/>
    </row>
    <row r="158" spans="1:27" x14ac:dyDescent="0.25">
      <c r="A158" s="108"/>
      <c r="D158" s="42"/>
    </row>
    <row r="159" spans="1:27" x14ac:dyDescent="0.25">
      <c r="A159" s="108"/>
      <c r="D159" s="42"/>
    </row>
    <row r="160" spans="1:27" x14ac:dyDescent="0.25">
      <c r="A160" s="108"/>
      <c r="D160" s="42"/>
    </row>
    <row r="161" spans="1:4" x14ac:dyDescent="0.25">
      <c r="A161" s="108"/>
      <c r="D161" s="42"/>
    </row>
    <row r="162" spans="1:4" x14ac:dyDescent="0.25">
      <c r="A162" s="108"/>
      <c r="D162" s="42"/>
    </row>
    <row r="163" spans="1:4" x14ac:dyDescent="0.25">
      <c r="A163" s="108"/>
      <c r="D163" s="42"/>
    </row>
    <row r="164" spans="1:4" x14ac:dyDescent="0.25">
      <c r="D164" s="42"/>
    </row>
    <row r="165" spans="1:4" x14ac:dyDescent="0.25">
      <c r="D165" s="42"/>
    </row>
    <row r="166" spans="1:4" x14ac:dyDescent="0.25">
      <c r="D166" s="42"/>
    </row>
    <row r="167" spans="1:4" x14ac:dyDescent="0.25">
      <c r="D167" s="42"/>
    </row>
    <row r="168" spans="1:4" x14ac:dyDescent="0.25">
      <c r="D168" s="42"/>
    </row>
    <row r="169" spans="1:4" x14ac:dyDescent="0.25">
      <c r="D169" s="42"/>
    </row>
    <row r="170" spans="1:4" x14ac:dyDescent="0.25">
      <c r="D170" s="42"/>
    </row>
    <row r="171" spans="1:4" x14ac:dyDescent="0.25">
      <c r="D171" s="42"/>
    </row>
    <row r="172" spans="1:4" x14ac:dyDescent="0.25">
      <c r="D172" s="42"/>
    </row>
    <row r="173" spans="1:4" x14ac:dyDescent="0.25">
      <c r="D173" s="42"/>
    </row>
    <row r="174" spans="1:4" x14ac:dyDescent="0.25">
      <c r="D174" s="42"/>
    </row>
    <row r="175" spans="1:4" x14ac:dyDescent="0.25">
      <c r="D175" s="42"/>
    </row>
    <row r="176" spans="1:4" x14ac:dyDescent="0.25">
      <c r="D176" s="42"/>
    </row>
    <row r="177" spans="4:4" x14ac:dyDescent="0.25">
      <c r="D177" s="42"/>
    </row>
    <row r="178" spans="4:4" x14ac:dyDescent="0.25">
      <c r="D178" s="42"/>
    </row>
    <row r="179" spans="4:4" x14ac:dyDescent="0.25">
      <c r="D179" s="42"/>
    </row>
    <row r="180" spans="4:4" x14ac:dyDescent="0.25">
      <c r="D180" s="42"/>
    </row>
    <row r="181" spans="4:4" x14ac:dyDescent="0.25">
      <c r="D181" s="42"/>
    </row>
    <row r="182" spans="4:4" x14ac:dyDescent="0.25">
      <c r="D182" s="42"/>
    </row>
    <row r="183" spans="4:4" x14ac:dyDescent="0.25">
      <c r="D183" s="42"/>
    </row>
    <row r="184" spans="4:4" x14ac:dyDescent="0.25">
      <c r="D184" s="42"/>
    </row>
    <row r="185" spans="4:4" x14ac:dyDescent="0.25">
      <c r="D185" s="42"/>
    </row>
    <row r="186" spans="4:4" x14ac:dyDescent="0.25">
      <c r="D186" s="42"/>
    </row>
    <row r="187" spans="4:4" x14ac:dyDescent="0.25">
      <c r="D187" s="42"/>
    </row>
    <row r="188" spans="4:4" x14ac:dyDescent="0.25">
      <c r="D188" s="42"/>
    </row>
    <row r="189" spans="4:4" x14ac:dyDescent="0.25">
      <c r="D189" s="42"/>
    </row>
    <row r="190" spans="4:4" x14ac:dyDescent="0.25">
      <c r="D190" s="42"/>
    </row>
    <row r="191" spans="4:4" x14ac:dyDescent="0.25">
      <c r="D191" s="42"/>
    </row>
    <row r="192" spans="4:4" x14ac:dyDescent="0.25">
      <c r="D192" s="42"/>
    </row>
    <row r="193" spans="4:4" x14ac:dyDescent="0.25">
      <c r="D193" s="42"/>
    </row>
    <row r="194" spans="4:4" x14ac:dyDescent="0.25">
      <c r="D194" s="42"/>
    </row>
    <row r="195" spans="4:4" x14ac:dyDescent="0.25">
      <c r="D195" s="42"/>
    </row>
    <row r="196" spans="4:4" x14ac:dyDescent="0.25">
      <c r="D196" s="42"/>
    </row>
    <row r="197" spans="4:4" x14ac:dyDescent="0.25">
      <c r="D197" s="42"/>
    </row>
    <row r="198" spans="4:4" x14ac:dyDescent="0.25">
      <c r="D198" s="42"/>
    </row>
    <row r="199" spans="4:4" x14ac:dyDescent="0.25">
      <c r="D199" s="42"/>
    </row>
    <row r="200" spans="4:4" x14ac:dyDescent="0.25">
      <c r="D200" s="42"/>
    </row>
    <row r="201" spans="4:4" x14ac:dyDescent="0.25">
      <c r="D201" s="42"/>
    </row>
    <row r="202" spans="4:4" x14ac:dyDescent="0.25">
      <c r="D202" s="42"/>
    </row>
    <row r="203" spans="4:4" x14ac:dyDescent="0.25">
      <c r="D203" s="42"/>
    </row>
    <row r="204" spans="4:4" x14ac:dyDescent="0.25">
      <c r="D204" s="42"/>
    </row>
    <row r="205" spans="4:4" x14ac:dyDescent="0.25">
      <c r="D205" s="42"/>
    </row>
    <row r="206" spans="4:4" x14ac:dyDescent="0.25">
      <c r="D206" s="42"/>
    </row>
    <row r="207" spans="4:4" x14ac:dyDescent="0.25">
      <c r="D207" s="42"/>
    </row>
    <row r="208" spans="4:4" x14ac:dyDescent="0.25">
      <c r="D208" s="42"/>
    </row>
    <row r="209" spans="4:4" x14ac:dyDescent="0.25">
      <c r="D209" s="42"/>
    </row>
    <row r="210" spans="4:4" x14ac:dyDescent="0.25">
      <c r="D210" s="42"/>
    </row>
    <row r="211" spans="4:4" x14ac:dyDescent="0.25">
      <c r="D211" s="42"/>
    </row>
    <row r="212" spans="4:4" x14ac:dyDescent="0.25">
      <c r="D212" s="42"/>
    </row>
    <row r="213" spans="4:4" x14ac:dyDescent="0.25">
      <c r="D213" s="42"/>
    </row>
    <row r="214" spans="4:4" x14ac:dyDescent="0.25">
      <c r="D214" s="42"/>
    </row>
    <row r="215" spans="4:4" x14ac:dyDescent="0.25">
      <c r="D215" s="42"/>
    </row>
    <row r="216" spans="4:4" x14ac:dyDescent="0.25">
      <c r="D216" s="42"/>
    </row>
    <row r="217" spans="4:4" x14ac:dyDescent="0.25">
      <c r="D217" s="42"/>
    </row>
    <row r="218" spans="4:4" x14ac:dyDescent="0.25">
      <c r="D218" s="42"/>
    </row>
    <row r="219" spans="4:4" x14ac:dyDescent="0.25">
      <c r="D219" s="42"/>
    </row>
    <row r="220" spans="4:4" x14ac:dyDescent="0.25">
      <c r="D220" s="42"/>
    </row>
    <row r="221" spans="4:4" x14ac:dyDescent="0.25">
      <c r="D221" s="42"/>
    </row>
    <row r="222" spans="4:4" x14ac:dyDescent="0.25">
      <c r="D222" s="42"/>
    </row>
    <row r="223" spans="4:4" x14ac:dyDescent="0.25">
      <c r="D223" s="42"/>
    </row>
    <row r="224" spans="4:4" x14ac:dyDescent="0.25">
      <c r="D224" s="42"/>
    </row>
    <row r="225" spans="4:4" x14ac:dyDescent="0.25">
      <c r="D225" s="42"/>
    </row>
    <row r="226" spans="4:4" x14ac:dyDescent="0.25">
      <c r="D226" s="42"/>
    </row>
    <row r="227" spans="4:4" x14ac:dyDescent="0.25">
      <c r="D227" s="42"/>
    </row>
    <row r="228" spans="4:4" x14ac:dyDescent="0.25">
      <c r="D228" s="42"/>
    </row>
    <row r="229" spans="4:4" x14ac:dyDescent="0.25">
      <c r="D229" s="42"/>
    </row>
    <row r="230" spans="4:4" x14ac:dyDescent="0.25">
      <c r="D230" s="42"/>
    </row>
    <row r="231" spans="4:4" x14ac:dyDescent="0.25">
      <c r="D231" s="42"/>
    </row>
    <row r="232" spans="4:4" x14ac:dyDescent="0.25">
      <c r="D232" s="42"/>
    </row>
    <row r="233" spans="4:4" x14ac:dyDescent="0.25">
      <c r="D233" s="42"/>
    </row>
    <row r="234" spans="4:4" x14ac:dyDescent="0.25">
      <c r="D234" s="42"/>
    </row>
    <row r="235" spans="4:4" x14ac:dyDescent="0.25">
      <c r="D235" s="42"/>
    </row>
    <row r="236" spans="4:4" x14ac:dyDescent="0.25">
      <c r="D236" s="42"/>
    </row>
    <row r="237" spans="4:4" x14ac:dyDescent="0.25">
      <c r="D237" s="42"/>
    </row>
    <row r="238" spans="4:4" x14ac:dyDescent="0.25">
      <c r="D238" s="42"/>
    </row>
    <row r="239" spans="4:4" x14ac:dyDescent="0.25">
      <c r="D239" s="42"/>
    </row>
    <row r="240" spans="4:4" x14ac:dyDescent="0.25">
      <c r="D240" s="42"/>
    </row>
    <row r="241" spans="4:4" x14ac:dyDescent="0.25">
      <c r="D241" s="42"/>
    </row>
    <row r="242" spans="4:4" x14ac:dyDescent="0.25">
      <c r="D242" s="42"/>
    </row>
    <row r="243" spans="4:4" x14ac:dyDescent="0.25">
      <c r="D243" s="42"/>
    </row>
    <row r="244" spans="4:4" x14ac:dyDescent="0.25">
      <c r="D244" s="42"/>
    </row>
    <row r="245" spans="4:4" x14ac:dyDescent="0.25">
      <c r="D245" s="42"/>
    </row>
    <row r="246" spans="4:4" x14ac:dyDescent="0.25">
      <c r="D246" s="42"/>
    </row>
    <row r="247" spans="4:4" x14ac:dyDescent="0.25">
      <c r="D247" s="42"/>
    </row>
    <row r="248" spans="4:4" x14ac:dyDescent="0.25">
      <c r="D248" s="42"/>
    </row>
    <row r="249" spans="4:4" x14ac:dyDescent="0.25">
      <c r="D249" s="42"/>
    </row>
    <row r="250" spans="4:4" x14ac:dyDescent="0.25">
      <c r="D250" s="42"/>
    </row>
    <row r="251" spans="4:4" x14ac:dyDescent="0.25">
      <c r="D251" s="42"/>
    </row>
    <row r="252" spans="4:4" x14ac:dyDescent="0.25">
      <c r="D252" s="42"/>
    </row>
    <row r="253" spans="4:4" x14ac:dyDescent="0.25">
      <c r="D253" s="42"/>
    </row>
    <row r="254" spans="4:4" x14ac:dyDescent="0.25">
      <c r="D254" s="42"/>
    </row>
    <row r="255" spans="4:4" x14ac:dyDescent="0.25">
      <c r="D255" s="42"/>
    </row>
    <row r="256" spans="4:4" x14ac:dyDescent="0.25">
      <c r="D256" s="42"/>
    </row>
    <row r="257" spans="4:4" x14ac:dyDescent="0.25">
      <c r="D257" s="42"/>
    </row>
    <row r="258" spans="4:4" x14ac:dyDescent="0.25">
      <c r="D258" s="42"/>
    </row>
    <row r="259" spans="4:4" x14ac:dyDescent="0.25">
      <c r="D259" s="42"/>
    </row>
    <row r="260" spans="4:4" x14ac:dyDescent="0.25">
      <c r="D260" s="42"/>
    </row>
    <row r="261" spans="4:4" x14ac:dyDescent="0.25">
      <c r="D261" s="42"/>
    </row>
    <row r="262" spans="4:4" x14ac:dyDescent="0.25">
      <c r="D262" s="42"/>
    </row>
    <row r="263" spans="4:4" x14ac:dyDescent="0.25">
      <c r="D263" s="42"/>
    </row>
    <row r="264" spans="4:4" x14ac:dyDescent="0.25">
      <c r="D264" s="42"/>
    </row>
    <row r="265" spans="4:4" x14ac:dyDescent="0.25">
      <c r="D265" s="42"/>
    </row>
    <row r="266" spans="4:4" x14ac:dyDescent="0.25">
      <c r="D266" s="42"/>
    </row>
    <row r="267" spans="4:4" x14ac:dyDescent="0.25">
      <c r="D267" s="42"/>
    </row>
    <row r="268" spans="4:4" x14ac:dyDescent="0.25">
      <c r="D268" s="42"/>
    </row>
    <row r="269" spans="4:4" x14ac:dyDescent="0.25">
      <c r="D269" s="42"/>
    </row>
    <row r="270" spans="4:4" x14ac:dyDescent="0.25">
      <c r="D270" s="42"/>
    </row>
    <row r="271" spans="4:4" x14ac:dyDescent="0.25">
      <c r="D271" s="42"/>
    </row>
    <row r="272" spans="4:4" x14ac:dyDescent="0.25">
      <c r="D272" s="42"/>
    </row>
    <row r="273" spans="4:4" x14ac:dyDescent="0.25">
      <c r="D273" s="42"/>
    </row>
    <row r="274" spans="4:4" x14ac:dyDescent="0.25">
      <c r="D274" s="42"/>
    </row>
    <row r="275" spans="4:4" x14ac:dyDescent="0.25">
      <c r="D275" s="42"/>
    </row>
    <row r="276" spans="4:4" x14ac:dyDescent="0.25">
      <c r="D276" s="42"/>
    </row>
    <row r="277" spans="4:4" x14ac:dyDescent="0.25">
      <c r="D277" s="42"/>
    </row>
    <row r="278" spans="4:4" x14ac:dyDescent="0.25">
      <c r="D278" s="42"/>
    </row>
    <row r="279" spans="4:4" x14ac:dyDescent="0.25">
      <c r="D279" s="42"/>
    </row>
    <row r="280" spans="4:4" x14ac:dyDescent="0.25">
      <c r="D280" s="42"/>
    </row>
    <row r="281" spans="4:4" x14ac:dyDescent="0.25">
      <c r="D281" s="42"/>
    </row>
    <row r="282" spans="4:4" x14ac:dyDescent="0.25">
      <c r="D282" s="42"/>
    </row>
    <row r="283" spans="4:4" x14ac:dyDescent="0.25">
      <c r="D283" s="42"/>
    </row>
    <row r="284" spans="4:4" x14ac:dyDescent="0.25">
      <c r="D284" s="42"/>
    </row>
    <row r="285" spans="4:4" x14ac:dyDescent="0.25">
      <c r="D285" s="42"/>
    </row>
    <row r="286" spans="4:4" x14ac:dyDescent="0.25">
      <c r="D286" s="42"/>
    </row>
    <row r="287" spans="4:4" x14ac:dyDescent="0.25">
      <c r="D287" s="42"/>
    </row>
    <row r="288" spans="4:4" x14ac:dyDescent="0.25">
      <c r="D288" s="42"/>
    </row>
    <row r="289" spans="4:4" x14ac:dyDescent="0.25">
      <c r="D289" s="42"/>
    </row>
    <row r="290" spans="4:4" x14ac:dyDescent="0.25">
      <c r="D290" s="42"/>
    </row>
    <row r="291" spans="4:4" x14ac:dyDescent="0.25">
      <c r="D291" s="42"/>
    </row>
    <row r="292" spans="4:4" x14ac:dyDescent="0.25">
      <c r="D292" s="42"/>
    </row>
    <row r="293" spans="4:4" x14ac:dyDescent="0.25">
      <c r="D293" s="42"/>
    </row>
    <row r="294" spans="4:4" x14ac:dyDescent="0.25">
      <c r="D294" s="42"/>
    </row>
    <row r="295" spans="4:4" x14ac:dyDescent="0.25">
      <c r="D295" s="42"/>
    </row>
    <row r="296" spans="4:4" x14ac:dyDescent="0.25">
      <c r="D296" s="42"/>
    </row>
    <row r="297" spans="4:4" x14ac:dyDescent="0.25">
      <c r="D297" s="42"/>
    </row>
    <row r="298" spans="4:4" x14ac:dyDescent="0.25">
      <c r="D298" s="42"/>
    </row>
    <row r="299" spans="4:4" x14ac:dyDescent="0.25">
      <c r="D299" s="42"/>
    </row>
    <row r="300" spans="4:4" x14ac:dyDescent="0.25">
      <c r="D300" s="42"/>
    </row>
    <row r="301" spans="4:4" x14ac:dyDescent="0.25">
      <c r="D301" s="42"/>
    </row>
    <row r="302" spans="4:4" x14ac:dyDescent="0.25">
      <c r="D302" s="42"/>
    </row>
    <row r="303" spans="4:4" x14ac:dyDescent="0.25">
      <c r="D303" s="42"/>
    </row>
    <row r="304" spans="4:4" x14ac:dyDescent="0.25">
      <c r="D304" s="42"/>
    </row>
    <row r="305" spans="4:4" x14ac:dyDescent="0.25">
      <c r="D305" s="42"/>
    </row>
    <row r="306" spans="4:4" x14ac:dyDescent="0.25">
      <c r="D306" s="42"/>
    </row>
    <row r="307" spans="4:4" x14ac:dyDescent="0.25">
      <c r="D307" s="42"/>
    </row>
    <row r="308" spans="4:4" x14ac:dyDescent="0.25">
      <c r="D308" s="42"/>
    </row>
    <row r="309" spans="4:4" x14ac:dyDescent="0.25">
      <c r="D309" s="42"/>
    </row>
    <row r="310" spans="4:4" x14ac:dyDescent="0.25">
      <c r="D310" s="42"/>
    </row>
    <row r="311" spans="4:4" x14ac:dyDescent="0.25">
      <c r="D311" s="42"/>
    </row>
    <row r="312" spans="4:4" x14ac:dyDescent="0.25">
      <c r="D312" s="42"/>
    </row>
    <row r="313" spans="4:4" x14ac:dyDescent="0.25">
      <c r="D313" s="42"/>
    </row>
    <row r="314" spans="4:4" x14ac:dyDescent="0.25">
      <c r="D314" s="42"/>
    </row>
    <row r="315" spans="4:4" x14ac:dyDescent="0.25">
      <c r="D315" s="42"/>
    </row>
    <row r="316" spans="4:4" x14ac:dyDescent="0.25">
      <c r="D316" s="42"/>
    </row>
    <row r="317" spans="4:4" x14ac:dyDescent="0.25">
      <c r="D317" s="42"/>
    </row>
    <row r="318" spans="4:4" x14ac:dyDescent="0.25">
      <c r="D318" s="42"/>
    </row>
    <row r="319" spans="4:4" x14ac:dyDescent="0.25">
      <c r="D319" s="42"/>
    </row>
    <row r="320" spans="4:4" x14ac:dyDescent="0.25">
      <c r="D320" s="42"/>
    </row>
    <row r="321" spans="4:4" x14ac:dyDescent="0.25">
      <c r="D321" s="42"/>
    </row>
    <row r="322" spans="4:4" x14ac:dyDescent="0.25">
      <c r="D322" s="42"/>
    </row>
    <row r="323" spans="4:4" x14ac:dyDescent="0.25">
      <c r="D323" s="42"/>
    </row>
    <row r="324" spans="4:4" x14ac:dyDescent="0.25">
      <c r="D324" s="42"/>
    </row>
    <row r="325" spans="4:4" x14ac:dyDescent="0.25">
      <c r="D325" s="42"/>
    </row>
    <row r="326" spans="4:4" x14ac:dyDescent="0.25">
      <c r="D326" s="42"/>
    </row>
    <row r="327" spans="4:4" x14ac:dyDescent="0.25">
      <c r="D327" s="42"/>
    </row>
    <row r="328" spans="4:4" x14ac:dyDescent="0.25">
      <c r="D328" s="42"/>
    </row>
    <row r="329" spans="4:4" x14ac:dyDescent="0.25">
      <c r="D329" s="42"/>
    </row>
    <row r="330" spans="4:4" x14ac:dyDescent="0.25">
      <c r="D330" s="42"/>
    </row>
  </sheetData>
  <sheetProtection password="E2B3" sheet="1" objects="1" scenarios="1" selectLockedCells="1"/>
  <mergeCells count="26">
    <mergeCell ref="C143:E143"/>
    <mergeCell ref="B24:H24"/>
    <mergeCell ref="B23:H23"/>
    <mergeCell ref="B136:H136"/>
    <mergeCell ref="C114:E114"/>
    <mergeCell ref="C126:E126"/>
    <mergeCell ref="C130:E130"/>
    <mergeCell ref="B84:H84"/>
    <mergeCell ref="C118:E118"/>
    <mergeCell ref="B83:H83"/>
    <mergeCell ref="B96:H96"/>
    <mergeCell ref="B58:H58"/>
    <mergeCell ref="B65:H65"/>
    <mergeCell ref="W26:X26"/>
    <mergeCell ref="B32:H32"/>
    <mergeCell ref="C138:E138"/>
    <mergeCell ref="C122:E122"/>
    <mergeCell ref="B37:H37"/>
    <mergeCell ref="B40:H40"/>
    <mergeCell ref="B29:C29"/>
    <mergeCell ref="D15:F15"/>
    <mergeCell ref="C4:H4"/>
    <mergeCell ref="C6:H6"/>
    <mergeCell ref="C8:H8"/>
    <mergeCell ref="C10:D10"/>
    <mergeCell ref="C13:D13"/>
  </mergeCells>
  <conditionalFormatting sqref="D31">
    <cfRule type="expression" dxfId="25" priority="10">
      <formula>$B$23</formula>
    </cfRule>
  </conditionalFormatting>
  <conditionalFormatting sqref="D36">
    <cfRule type="expression" dxfId="24" priority="9">
      <formula>#REF!</formula>
    </cfRule>
  </conditionalFormatting>
  <conditionalFormatting sqref="D39">
    <cfRule type="expression" dxfId="23" priority="8">
      <formula>#REF!</formula>
    </cfRule>
  </conditionalFormatting>
  <conditionalFormatting sqref="D81">
    <cfRule type="expression" dxfId="22" priority="4">
      <formula>#REF!</formula>
    </cfRule>
  </conditionalFormatting>
  <conditionalFormatting sqref="M81">
    <cfRule type="expression" dxfId="21" priority="3">
      <formula>#REF!</formula>
    </cfRule>
  </conditionalFormatting>
  <conditionalFormatting sqref="M36">
    <cfRule type="expression" dxfId="20" priority="2">
      <formula>#REF!</formula>
    </cfRule>
  </conditionalFormatting>
  <conditionalFormatting sqref="M39">
    <cfRule type="expression" dxfId="19" priority="1">
      <formula>#REF!</formula>
    </cfRule>
  </conditionalFormatting>
  <dataValidations count="53">
    <dataValidation type="custom" allowBlank="1" showInputMessage="1" showErrorMessage="1" error="Número inválido. Podem ser preenchidos números com até duas casas decimais." prompt="Refere-se à distância média ponderada de transporte da palha entre o fornecedor e a usina." sqref="D133" xr:uid="{00000000-0002-0000-0B00-000000000000}">
      <formula1>IF(AND(D133&gt;=0,D133=ROUND(D133,2)),D133,"")</formula1>
    </dataValidation>
    <dataValidation type="custom" allowBlank="1" showInputMessage="1" showErrorMessage="1" error="Número inválido. Podem ser preenchidos números com até duas casas decimais." prompt="Refere-se à quantidade total de produto produzido na área total de produção, informada no campo &quot;Área total&quot;" sqref="D28 D30" xr:uid="{00000000-0002-0000-0B00-000001000000}">
      <formula1>IF(AND(D28&gt;=0,D28=ROUND(D28,2)),D28,"")</formula1>
    </dataValidation>
    <dataValidation type="decimal" allowBlank="1" showInputMessage="1" showErrorMessage="1" error="Número inválido. _x000a_" prompt="Refere-se ao percentual do volume de etanol hidratado comercializado que é distribuido (distância percorrida da usina até o posto de combustível) via sistema logístico exclusivamente Rodoviário." sqref="D144" xr:uid="{00000000-0002-0000-0B00-000002000000}">
      <formula1>0</formula1>
      <formula2>1</formula2>
    </dataValidation>
    <dataValidation type="decimal" allowBlank="1" showInputMessage="1" showErrorMessage="1" error="Número inválido." prompt="Refere-se ao percentual do volume de etanol anidro comercializado que é distribuido (distância percorrida da usina até o posto de combustível) via sistema logístico exclusivamente Rodoviário." sqref="D139" xr:uid="{00000000-0002-0000-0B00-000003000000}">
      <formula1>0</formula1>
      <formula2>1</formula2>
    </dataValidation>
    <dataValidation type="decimal" allowBlank="1" showInputMessage="1" showErrorMessage="1" error="Número inválido. " prompt="No campo BX, X representa o teor de mistura de biodiesel vigente no ano de referência para o preenchimento." sqref="G104" xr:uid="{00000000-0002-0000-0B00-000004000000}">
      <formula1>0</formula1>
      <formula2>1</formula2>
    </dataValidation>
    <dataValidation type="decimal" allowBlank="1" showInputMessage="1" showErrorMessage="1" error="Número inválido." prompt="Refere-se ao teor médio de umidade do millho. " sqref="G28" xr:uid="{00000000-0002-0000-0B00-000005000000}">
      <formula1>0</formula1>
      <formula2>1</formula2>
    </dataValidation>
    <dataValidation type="decimal" allowBlank="1" showInputMessage="1" showErrorMessage="1" error="Número inválido." prompt="Refere-se ao teor de umidade do milho processado." sqref="G85" xr:uid="{00000000-0002-0000-0B00-000006000000}">
      <formula1>0</formula1>
      <formula2>1</formula2>
    </dataValidation>
    <dataValidation type="list" allowBlank="1" showInputMessage="1" showErrorMessage="1" prompt="Defina o sistema de plantio realizado" sqref="D25" xr:uid="{00000000-0002-0000-0B00-000007000000}">
      <formula1>Sistema_Plantio</formula1>
    </dataValidation>
    <dataValidation type="list" allowBlank="1" showErrorMessage="1" sqref="C13:D13" xr:uid="{00000000-0002-0000-0B00-000008000000}">
      <formula1>Etanol</formula1>
    </dataValidation>
    <dataValidation type="decimal" allowBlank="1" showInputMessage="1" showErrorMessage="1" error="Número inválido. " prompt="Refere-se ao percentual do volume de etanol anidro comercializado que é distribuido (distância percorrida da usina até o posto de combustível) via sistema logístico &quot;Rodoviário + Fluvial&quot;." sqref="D140" xr:uid="{00000000-0002-0000-0B00-000009000000}">
      <formula1>0</formula1>
      <formula2>1</formula2>
    </dataValidation>
    <dataValidation type="decimal" allowBlank="1" showInputMessage="1" showErrorMessage="1" error="Número inválido." prompt="Refere-se ao percentual do volume de etanol hidratado comercializado que é distribuido (distância percorrida da usina até o posto de combustível) via sistema logístico &quot;Rodoviário + Fluvial&quot;." sqref="D145" xr:uid="{00000000-0002-0000-0B00-00000A000000}">
      <formula1>0</formula1>
      <formula2>1</formula2>
    </dataValidation>
    <dataValidation type="custom" allowBlank="1" showInputMessage="1" showErrorMessage="1" error="Número inválido." prompt="Informar o Poder Calorífico Inferior (PCI) do biogás." sqref="G112" xr:uid="{00000000-0002-0000-0B00-00000B000000}">
      <formula1>IF(AND(G112&lt;=50,G112&gt;=30,G112=ROUND(G112,2)),G112,"")</formula1>
    </dataValidation>
    <dataValidation type="decimal" allowBlank="1" showInputMessage="1" showErrorMessage="1" error="Número inválido." prompt="No campo BX, X representa o teor de mistura de biodiesel vigente no ano de referência para o preenchimento." sqref="G68" xr:uid="{00000000-0002-0000-0B00-00000C000000}">
      <formula1>0</formula1>
      <formula2>1</formula2>
    </dataValidation>
    <dataValidation type="decimal" allowBlank="1" showInputMessage="1" showErrorMessage="1" error="Número inválido. " prompt="Teor de umidade:_x000a__x000a_Massa de água / Massa total" sqref="G90:G93 D116" xr:uid="{00000000-0002-0000-0B00-00000D000000}">
      <formula1>0</formula1>
      <formula2>1</formula2>
    </dataValidation>
    <dataValidation type="custom" allowBlank="1" showInputMessage="1" showErrorMessage="1" error="Número inválido. " prompt="Informar o Poder Calorífico Inferior (PCI) do biogás." sqref="G111" xr:uid="{00000000-0002-0000-0B00-00000E000000}">
      <formula1>IF(AND(G111&lt;=50,G111&gt;=30,G111=ROUND(G111,2)),G111,"")</formula1>
    </dataValidation>
    <dataValidation type="decimal" allowBlank="1" showInputMessage="1" showErrorMessage="1" error="Número inválido." prompt="Teor de umidade:_x000a__x000a_Massa de água / Massa total" sqref="D128 D124 D120 D132" xr:uid="{00000000-0002-0000-0B00-00000F000000}">
      <formula1>0</formula1>
      <formula2>1</formula2>
    </dataValidation>
    <dataValidation allowBlank="1" showInputMessage="1" showErrorMessage="1" prompt="Esses dados devem ser preenchido de acordo com o resultado obtido na planilha de cadastro de produtores de biomassa." sqref="B23:H23" xr:uid="{00000000-0002-0000-0B00-000010000000}"/>
    <dataValidation type="custom" allowBlank="1" showInputMessage="1" showErrorMessage="1" error="Número inválido. Podem ser preenchidos números com até duas casas decimais." prompt="Refere-se à área total da usina, ou seja, a soma das áreas de plantio e colheita. " sqref="D26" xr:uid="{00000000-0002-0000-0B00-000011000000}">
      <formula1>IF(AND(D26&gt;=0,D26=ROUND(D26,2)),D26,"")</formula1>
    </dataValidation>
    <dataValidation type="custom" allowBlank="1" showInputMessage="1" showErrorMessage="1" error="Número inválido. Podem ser preenchidos números com até duas casas decimais." prompt="Quantidade anual consumida de calcário calcítico na área total, dividida pelo valor informado no campo Produção Total" sqref="D33" xr:uid="{00000000-0002-0000-0B00-000012000000}">
      <formula1>IF(AND(D33&gt;=0,D33=ROUND(D33,2)),D33,"")</formula1>
    </dataValidation>
    <dataValidation type="custom" allowBlank="1" showInputMessage="1" showErrorMessage="1" error="Número inválido. Podem ser preenchidos números com até duas casas decimais." prompt="Quantidade anual consumida de calcário dolomítico na área total, dividida pelo valor informado no campo Produção Total." sqref="D34" xr:uid="{00000000-0002-0000-0B00-000013000000}">
      <formula1>IF(AND(D34&gt;=0,D34=ROUND(D34,2)),D34,"")</formula1>
    </dataValidation>
    <dataValidation type="custom" allowBlank="1" showInputMessage="1" showErrorMessage="1" error="Número inválido. Podem ser preenchidos números com até duas casas decimais." prompt="Quantidade anual consumida de gesso na área total, dividida pelo valor informado no campo Produção Total." sqref="D35" xr:uid="{00000000-0002-0000-0B00-000014000000}">
      <formula1>IF(AND(D35&gt;=0,D35=ROUND(D35,2)),D35,"")</formula1>
    </dataValidation>
    <dataValidation type="custom" allowBlank="1" showInputMessage="1" showErrorMessage="1" error="Número inválido. Podem ser preenchidos números com até duas casas decimais." prompt="Quantidade anual consumida de sementes na área total, dividida pelo valor informado no campo Produção Total" sqref="D38" xr:uid="{00000000-0002-0000-0B00-000015000000}">
      <formula1>IF(AND(D38&gt;=0,D38=ROUND(D38,2)),D38,"")</formula1>
    </dataValidation>
    <dataValidation type="custom" allowBlank="1" showInputMessage="1" showErrorMessage="1" error="Número inválido. Podem ser preenchidos números com até duas casas decimais." prompt="Quantidade anual consumida do elemento N por fonte na área total, dividida pelo valor informado no campo Produção Total" sqref="D41:D42 D44" xr:uid="{00000000-0002-0000-0B00-000016000000}">
      <formula1>IF(AND(D41&gt;=0,D41=ROUND(D41,2)),D41,"")</formula1>
    </dataValidation>
    <dataValidation type="custom" allowBlank="1" showInputMessage="1" showErrorMessage="1" error="Número inválido. Podem ser preenchidos números com até duas casas decimais." prompt="Quantidade anual consumida do elemento N por fonte na área total, dividida pelo valor informado no campo Produção Total." sqref="D46:D50 D54" xr:uid="{00000000-0002-0000-0B00-000017000000}">
      <formula1>IF(AND(D46&gt;=0,D46=ROUND(D46,2)),D46,"")</formula1>
    </dataValidation>
    <dataValidation type="custom" allowBlank="1" showInputMessage="1" showErrorMessage="1" error="Número inválido. Podem ser preenchidos números com até duas casas decimais." prompt="Quantidade anual consumida de P₂O₅ por fonte na área total, dividida pelo valor informado no campo Produção Total." sqref="D43 D45 D51:D52 D55" xr:uid="{00000000-0002-0000-0B00-000018000000}">
      <formula1>IF(AND(D43&gt;=0,D43=ROUND(D43,2)),D43,"")</formula1>
    </dataValidation>
    <dataValidation type="custom" allowBlank="1" showInputMessage="1" showErrorMessage="1" error="Número inválido. Podem ser preenchidos números com até duas casas decimais." prompt="Quantidade anual consumida de K₂O por fonte na área total, dividida pelo valor informado no campo Produção Total." sqref="D53" xr:uid="{00000000-0002-0000-0B00-000019000000}">
      <formula1>IF(AND(D53&gt;=0,D53=ROUND(D53,2)),D53,"")</formula1>
    </dataValidation>
    <dataValidation type="custom" allowBlank="1" showInputMessage="1" showErrorMessage="1" error="Número inválido. Podem ser preenchidos números com até duas casas decimais." prompt="Quantidade anual consumida de K₂O por fonte na área total, dividida pelo valor informado no campo Produção Total. " sqref="D56" xr:uid="{00000000-0002-0000-0B00-00001A000000}">
      <formula1>IF(AND(D56&gt;=0,D56=ROUND(D56,2)),D56,"")</formula1>
    </dataValidation>
    <dataValidation type="custom" allowBlank="1" showInputMessage="1" showErrorMessage="1" error="Número inválido. Podem ser preenchidos números com até duas casas decimais." prompt="Quantidade total anual do fertilizante especificado na coluna à esquerda utilizada na área total dividida pelo valor informado no campo Produção Total" sqref="D59:D63" xr:uid="{00000000-0002-0000-0B00-00001B000000}">
      <formula1>IF(AND(D59&gt;=0,D59=ROUND(D59,2)),D59,"")</formula1>
    </dataValidation>
    <dataValidation type="custom" allowBlank="1" showInputMessage="1" showErrorMessage="1" error="Número inválido. Podem ser preenchidos números com até duas casas decimais." prompt="Informar a concentração de nitrogênio em cada fonte." sqref="G59:G63" xr:uid="{00000000-0002-0000-0B00-00001C000000}">
      <formula1>IF(AND(G59&gt;=0,G59=ROUND(G59,2)),G59,"")</formula1>
    </dataValidation>
    <dataValidation type="custom" allowBlank="1" showInputMessage="1" showErrorMessage="1" error="Número inválido. Podem ser preenchidos números com até duas casas decimais." prompt="Quantidade total anual de combustíveis (soma do consumo nas operações agrícolas, irrigação, transportes de milho, deslocamento de pessoas, etc) na área total dividida pelo valor informado em Produção Total." sqref="D66:D75" xr:uid="{00000000-0002-0000-0B00-00001D000000}">
      <formula1>IF(AND(D66&gt;=0,D66=ROUND(D66,2)),D66,"")</formula1>
    </dataValidation>
    <dataValidation type="custom" allowBlank="1" showInputMessage="1" showErrorMessage="1" error="Número inválido. Podem ser preenchidos números com até duas casas decimais." prompt="Quantidade total anual de eletricidade consumida na área total dividida pelo valor informado no campo Produção Total" sqref="D76:D80" xr:uid="{00000000-0002-0000-0B00-00001E000000}">
      <formula1>IF(AND(D76&gt;=0,D76=ROUND(D76,2)),D76,"")</formula1>
    </dataValidation>
    <dataValidation type="custom" allowBlank="1" showInputMessage="1" showErrorMessage="1" error="Número inválido. Podem ser preenchidos números com até duas casas decimais." prompt="Refere-se à quantidade total anual de grãos de milho processados." sqref="D85" xr:uid="{00000000-0002-0000-0B00-00001F000000}">
      <formula1>IF(AND(D85&gt;=0,D85=ROUND(D85,2)),D85,"")</formula1>
    </dataValidation>
    <dataValidation type="custom" allowBlank="1" showInputMessage="1" showErrorMessage="1" error="Número inválido. Podem ser preenchidos números com até duas casas decimais." prompt="Refere-se à distância média ponderada de transporte do milho do armazém até a usina." sqref="D86" xr:uid="{00000000-0002-0000-0B00-000020000000}">
      <formula1>IF(AND(D86&gt;=0,D86=ROUND(D86,2)),D86,"")</formula1>
    </dataValidation>
    <dataValidation type="custom" allowBlank="1" showInputMessage="1" showErrorMessage="1" error="Número inválido. Podem ser preenchidos números com até duas casas decimais." prompt="Refere-se ao volume total (corrigido para a temperatura de 20 °C) de etanol anidro produzido anualmente dividido pela quantidade de milho processado." sqref="D87" xr:uid="{00000000-0002-0000-0B00-000021000000}">
      <formula1>IF(AND(D87&gt;=0,D87=ROUND(D87,2)),D87,"")</formula1>
    </dataValidation>
    <dataValidation type="custom" allowBlank="1" showInputMessage="1" showErrorMessage="1" error="Número inválido. Podem ser preenchidos números com até duas casas decimais." prompt="Refere-se ao volume total (corrigido para a temperatura de 20 °C) de etanol hidratado produzido anualmente dividido pela quantidade de milho processado." sqref="D88" xr:uid="{00000000-0002-0000-0B00-000022000000}">
      <formula1>IF(AND(D88&gt;=0,D88=ROUND(D88,2)),D88,"")</formula1>
    </dataValidation>
    <dataValidation type="custom" allowBlank="1" showInputMessage="1" showErrorMessage="1" error="Número inválido. Podem ser preenchidos números com até duas casas decimais." prompt="Refere-se à quantidade total de eletricidade comercializada anualmente dividida pela quantidade de milho processado." sqref="D89" xr:uid="{00000000-0002-0000-0B00-000023000000}">
      <formula1>IF(AND(D89&gt;=0,D89=ROUND(D89,2)),D89,"")</formula1>
    </dataValidation>
    <dataValidation type="custom" allowBlank="1" showInputMessage="1" showErrorMessage="1" error="Número inválido. Podem ser preenchidos números com até duas casas decimais." prompt="Refere-se à massa total de DDG produzido anualmente dividida pela quantidade total anual de milho processado. Deve ser reportado em base úmida." sqref="D90" xr:uid="{00000000-0002-0000-0B00-000024000000}">
      <formula1>IF(AND(D90&gt;=0,D90=ROUND(D90,2)),D90,"")</formula1>
    </dataValidation>
    <dataValidation type="custom" allowBlank="1" showInputMessage="1" showErrorMessage="1" error="Número inválido. Podem ser preenchidos números com até duas casas decimais." prompt="Refere-se à massa total de DDGS produzido anualmente dividida pela quantidade total anual de milho processado. Deve ser reportado em base úmida." sqref="D91" xr:uid="{00000000-0002-0000-0B00-000025000000}">
      <formula1>IF(AND(D91&gt;=0,D91=ROUND(D91,2)),D91,"")</formula1>
    </dataValidation>
    <dataValidation type="custom" allowBlank="1" showInputMessage="1" showErrorMessage="1" error="Número inválido. Podem ser preenchidos números com até duas casas decimais." prompt="Refere-se à massa total de CGM (farelo de milho) produzido anualmente dividida pela quantidade total anual de milho processado. Deve ser reportado em base úmida." sqref="D92" xr:uid="{00000000-0002-0000-0B00-000026000000}">
      <formula1>IF(AND(D92&gt;=0,D92=ROUND(D92,2)),D92,"")</formula1>
    </dataValidation>
    <dataValidation type="custom" allowBlank="1" showInputMessage="1" showErrorMessage="1" error="Número inválido. Podem ser preenchidos números com até duas casas decimais." prompt="Refere-se à massa total de CGF (proteína de milho)  produzido anualmente dividida pela quantidade total anual de milho processado. Deve ser reportado em base úmida." sqref="D93" xr:uid="{00000000-0002-0000-0B00-000027000000}">
      <formula1>IF(AND(D93&gt;=0,D93=ROUND(D93,2)),D93,"")</formula1>
    </dataValidation>
    <dataValidation type="custom" allowBlank="1" showInputMessage="1" showErrorMessage="1" error="Número inválido. Podem ser preenchidos números com até duas casas decimais." prompt="Refere-se à massa total de Óleo de Milho produzido anualmente dividida pela quantidade total anual de milho processado." sqref="D94" xr:uid="{00000000-0002-0000-0B00-000028000000}">
      <formula1>IF(AND(D94&gt;=0,D94=ROUND(D94,2)),D94,"")</formula1>
    </dataValidation>
    <dataValidation type="custom" allowBlank="1" showInputMessage="1" showErrorMessage="1" error="Número inválido. Podem ser preenchidos números com até duas casas decimais." prompt="Informe a quantidade total anual de eletricidade consumida dividida pela quantidade total anual milho processado." sqref="D97:D101" xr:uid="{00000000-0002-0000-0B00-000029000000}">
      <formula1>IF(AND(D97&gt;=0,D97=ROUND(D97,2)),D97,"")</formula1>
    </dataValidation>
    <dataValidation type="custom" allowBlank="1" showInputMessage="1" showErrorMessage="1" error="Número inválido. Podem ser preenchidos números com até duas casas decimais." prompt="Informe a quantidade total anual de combustível consumido dividido pela quantidade total anual de milho processado. " sqref="D102:D113" xr:uid="{00000000-0002-0000-0B00-00002A000000}">
      <formula1>IF(AND(D102&gt;=0,D102=ROUND(D102,2)),D102,"")</formula1>
    </dataValidation>
    <dataValidation type="custom" allowBlank="1" showInputMessage="1" showErrorMessage="1" error="Número inválido. Podem ser preenchidos números com até duas casas decimais." prompt="Refere-se à quantidade total anual de cavaco adquirido pela usina e utilizado para geração de vapor/eletricidade, dividido pela quantidade de milho processado. Deve ser reportado em base úmida." sqref="D115" xr:uid="{00000000-0002-0000-0B00-00002B000000}">
      <formula1>IF(AND(D115&gt;=0,D115=ROUND(D115,2)),D115,"")</formula1>
    </dataValidation>
    <dataValidation type="custom" allowBlank="1" showInputMessage="1" showErrorMessage="1" error="Número inválido. Podem ser preenchidos números com até duas casas decimais." prompt="Refere-se à distância média ponderada de transporte do cavaco de madeira entre o fornecedor e a usina." sqref="D117" xr:uid="{00000000-0002-0000-0B00-00002C000000}">
      <formula1>IF(AND(D117&gt;=0,D117=ROUND(D117,2)),D117,"")</formula1>
    </dataValidation>
    <dataValidation type="custom" allowBlank="1" showInputMessage="1" showErrorMessage="1" error="Número inválido. Podem ser preenchidos números com até duas casas decimais." prompt="Refere-se à quantidade total anual de lenha adquirida pela usina e utilizado para geração de vapor/eletricidade, dividido pela quantidade de milho processado. Deve ser reportada em base úmida." sqref="D119" xr:uid="{00000000-0002-0000-0B00-00002D000000}">
      <formula1>IF(AND(D119&gt;=0,D119=ROUND(D119,2)),D119,"")</formula1>
    </dataValidation>
    <dataValidation type="custom" allowBlank="1" showInputMessage="1" showErrorMessage="1" error="Número inválido. Podem ser preenchidos números com até duas casas decimais." prompt="Refere-se à distância média ponderada de transporte da lenha entre o fornecedor e a usina." sqref="D121" xr:uid="{00000000-0002-0000-0B00-00002E000000}">
      <formula1>IF(AND(D121&gt;=0,D121=ROUND(D121,2)),D121,"")</formula1>
    </dataValidation>
    <dataValidation type="custom" allowBlank="1" showInputMessage="1" showErrorMessage="1" error="Número inválido. Podem ser preenchidos números com até duas casas decimais." prompt="Refere-se à quantidade total anual de resíduos florestais adquiridos pela usina e utilizado para geração de vapor/eletricidade, dividido pela quantidade de milho processado. Deve ser reportado em base úmida." sqref="D123" xr:uid="{00000000-0002-0000-0B00-00002F000000}">
      <formula1>IF(AND(D123&gt;=0,D123=ROUND(D123,2)),D123,"")</formula1>
    </dataValidation>
    <dataValidation type="custom" allowBlank="1" showInputMessage="1" showErrorMessage="1" error="Número inválido. Podem ser preenchidos números com até duas casas decimais." prompt="Refere-se à distância média ponderada de transporte dos resíduos florestais entre o fornecedor e a usina." sqref="D125" xr:uid="{00000000-0002-0000-0B00-000030000000}">
      <formula1>IF(AND(D125&gt;=0,D125=ROUND(D125,2)),D125,"")</formula1>
    </dataValidation>
    <dataValidation type="custom" allowBlank="1" showInputMessage="1" showErrorMessage="1" error="Número inválido. Podem ser preenchidos números com até duas casas decimais." prompt="Refere-se à quantidade total anual de bagaço de cana adquirido pela usina e utilizado para geração de vapor/eletricidade, dividido pela quantidade de milho processado. Deve ser reportado em base úmida." sqref="D127" xr:uid="{00000000-0002-0000-0B00-000031000000}">
      <formula1>IF(AND(D127&gt;=0,D127=ROUND(D127,2)),D127,"")</formula1>
    </dataValidation>
    <dataValidation type="custom" allowBlank="1" showInputMessage="1" showErrorMessage="1" error="Número inválido. Podem ser preenchidos números com até duas casas decimais." prompt="Refere-se à distância média ponderada de transporte do bagaço entre o fornecedor e a usina." sqref="D129" xr:uid="{00000000-0002-0000-0B00-000032000000}">
      <formula1>IF(AND(D129&gt;=0,D129=ROUND(D129,2)),D129,"")</formula1>
    </dataValidation>
    <dataValidation type="custom" allowBlank="1" showInputMessage="1" showErrorMessage="1" error="Número inválido. Podem ser preenchidos números com até duas casas decimais." prompt="Refere-se à quantidade total anual de palha de cana adquirida pela usina e utilizada para geração de vapor/eletricidade, dividida pela quantidade de milho processado. Deve ser reportada em base úmida." sqref="D131" xr:uid="{00000000-0002-0000-0B00-000033000000}">
      <formula1>IF(AND(D131&gt;=0,D131=ROUND(D131,2)),D131,"")</formula1>
    </dataValidation>
    <dataValidation allowBlank="1" showErrorMessage="1" sqref="D29 G29" xr:uid="{00000000-0002-0000-0B00-000034000000}"/>
  </dataValidations>
  <pageMargins left="0.511811024" right="0.511811024" top="0.78740157499999996" bottom="0.78740157499999996" header="0.31496062000000002" footer="0.31496062000000002"/>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20">
    <tabColor rgb="FF2D70C9"/>
  </sheetPr>
  <dimension ref="B1:T173"/>
  <sheetViews>
    <sheetView showGridLines="0" workbookViewId="0">
      <selection activeCell="H5" sqref="H5"/>
    </sheetView>
  </sheetViews>
  <sheetFormatPr defaultColWidth="9.140625" defaultRowHeight="15" outlineLevelRow="1" x14ac:dyDescent="0.25"/>
  <cols>
    <col min="1" max="1" width="5.7109375" style="5" customWidth="1"/>
    <col min="2" max="2" width="50.7109375" style="5" customWidth="1"/>
    <col min="3" max="3" width="15.7109375" style="5" customWidth="1"/>
    <col min="4" max="4" width="15.7109375" style="11" customWidth="1"/>
    <col min="5" max="6" width="15.7109375" style="5" customWidth="1"/>
    <col min="7" max="7" width="2.7109375" style="5" customWidth="1"/>
    <col min="8" max="8" width="16.85546875" style="11" customWidth="1"/>
    <col min="9" max="9" width="18.28515625" style="11" bestFit="1" customWidth="1"/>
    <col min="10" max="10" width="20" style="5" customWidth="1"/>
    <col min="11" max="11" width="15.85546875" style="5" bestFit="1" customWidth="1"/>
    <col min="12" max="12" width="18" style="5" bestFit="1" customWidth="1"/>
    <col min="13" max="13" width="11" style="5" bestFit="1" customWidth="1"/>
    <col min="14" max="14" width="13" style="5" bestFit="1" customWidth="1"/>
    <col min="15" max="15" width="15.85546875" style="5" bestFit="1" customWidth="1"/>
    <col min="16" max="16" width="9.140625" style="5" bestFit="1" customWidth="1"/>
    <col min="17" max="17" width="8.5703125" style="5" bestFit="1" customWidth="1"/>
    <col min="18" max="18" width="11.28515625" style="5" bestFit="1" customWidth="1"/>
    <col min="19" max="16384" width="9.140625" style="5"/>
  </cols>
  <sheetData>
    <row r="1" spans="2:12" s="10" customFormat="1" ht="17.25" customHeight="1" x14ac:dyDescent="0.25">
      <c r="L1" s="4"/>
    </row>
    <row r="2" spans="2:12" s="10" customFormat="1" ht="18.75" x14ac:dyDescent="0.25">
      <c r="B2" s="741" t="s">
        <v>537</v>
      </c>
      <c r="C2" s="741"/>
      <c r="D2" s="741"/>
      <c r="E2" s="741"/>
      <c r="F2" s="741"/>
      <c r="G2" s="453"/>
      <c r="L2" s="4"/>
    </row>
    <row r="3" spans="2:12" s="10" customFormat="1" ht="17.25" customHeight="1" x14ac:dyDescent="0.25">
      <c r="B3" s="279"/>
      <c r="C3" s="739" t="s">
        <v>179</v>
      </c>
      <c r="D3" s="739"/>
      <c r="E3" s="739" t="s">
        <v>177</v>
      </c>
      <c r="F3" s="739"/>
      <c r="G3" s="583"/>
    </row>
    <row r="4" spans="2:12" s="10" customFormat="1" ht="17.25" customHeight="1" x14ac:dyDescent="0.25">
      <c r="B4" s="307" t="s">
        <v>536</v>
      </c>
      <c r="C4" s="738" t="e">
        <f>C5+C6+C7+C8</f>
        <v>#DIV/0!</v>
      </c>
      <c r="D4" s="738"/>
      <c r="E4" s="738" t="e">
        <f>E5+E6+E7+E8</f>
        <v>#DIV/0!</v>
      </c>
      <c r="F4" s="738"/>
      <c r="G4" s="584"/>
    </row>
    <row r="5" spans="2:12" s="10" customFormat="1" x14ac:dyDescent="0.25">
      <c r="B5" s="273" t="s">
        <v>180</v>
      </c>
      <c r="C5" s="237" t="e">
        <f>$H$87</f>
        <v>#DIV/0!</v>
      </c>
      <c r="D5" s="258" t="e">
        <f>C5/$C$4</f>
        <v>#DIV/0!</v>
      </c>
      <c r="E5" s="237" t="e">
        <f>$I$87</f>
        <v>#DIV/0!</v>
      </c>
      <c r="F5" s="258" t="e">
        <f>E5/$E$4</f>
        <v>#DIV/0!</v>
      </c>
      <c r="G5" s="585"/>
    </row>
    <row r="6" spans="2:12" s="10" customFormat="1" x14ac:dyDescent="0.25">
      <c r="B6" s="273" t="s">
        <v>181</v>
      </c>
      <c r="C6" s="237" t="e">
        <f>$H$151-$H$105</f>
        <v>#DIV/0!</v>
      </c>
      <c r="D6" s="258" t="e">
        <f t="shared" ref="D6:D8" si="0">C6/$C$4</f>
        <v>#DIV/0!</v>
      </c>
      <c r="E6" s="237" t="e">
        <f>$I$151-$I$105</f>
        <v>#DIV/0!</v>
      </c>
      <c r="F6" s="258" t="e">
        <f t="shared" ref="F6:F8" si="1">E6/$E$4</f>
        <v>#DIV/0!</v>
      </c>
      <c r="G6" s="585"/>
    </row>
    <row r="7" spans="2:12" s="10" customFormat="1" x14ac:dyDescent="0.25">
      <c r="B7" s="273" t="s">
        <v>170</v>
      </c>
      <c r="C7" s="237" t="e">
        <f>$D$172</f>
        <v>#DIV/0!</v>
      </c>
      <c r="D7" s="258" t="e">
        <f t="shared" si="0"/>
        <v>#DIV/0!</v>
      </c>
      <c r="E7" s="237" t="e">
        <f>$E$172</f>
        <v>#DIV/0!</v>
      </c>
      <c r="F7" s="258" t="e">
        <f t="shared" si="1"/>
        <v>#DIV/0!</v>
      </c>
      <c r="G7" s="585"/>
    </row>
    <row r="8" spans="2:12" s="10" customFormat="1" x14ac:dyDescent="0.25">
      <c r="B8" s="273" t="s">
        <v>63</v>
      </c>
      <c r="C8" s="237">
        <f>'FE''s queima combustíveis'!$I$7</f>
        <v>0.43899999999999995</v>
      </c>
      <c r="D8" s="258" t="e">
        <f t="shared" si="0"/>
        <v>#DIV/0!</v>
      </c>
      <c r="E8" s="237">
        <f>'FE''s queima combustíveis'!$I$8</f>
        <v>0.66300000000000003</v>
      </c>
      <c r="F8" s="258" t="e">
        <f t="shared" si="1"/>
        <v>#DIV/0!</v>
      </c>
      <c r="G8" s="585"/>
    </row>
    <row r="9" spans="2:12" s="10" customFormat="1" x14ac:dyDescent="0.25"/>
    <row r="10" spans="2:12" s="10" customFormat="1" x14ac:dyDescent="0.25"/>
    <row r="11" spans="2:12" s="66" customFormat="1" ht="18.75" x14ac:dyDescent="0.25">
      <c r="B11" s="741" t="s">
        <v>609</v>
      </c>
      <c r="C11" s="741"/>
      <c r="D11" s="741"/>
      <c r="E11" s="741"/>
      <c r="F11" s="741"/>
      <c r="G11" s="453"/>
      <c r="H11" s="740" t="s">
        <v>936</v>
      </c>
      <c r="I11" s="740" t="s">
        <v>937</v>
      </c>
    </row>
    <row r="12" spans="2:12" s="10" customFormat="1" ht="18" x14ac:dyDescent="0.25">
      <c r="B12" s="279" t="s">
        <v>510</v>
      </c>
      <c r="C12" s="306"/>
      <c r="D12" s="306" t="s">
        <v>51</v>
      </c>
      <c r="E12" s="306" t="s">
        <v>610</v>
      </c>
      <c r="F12" s="306"/>
      <c r="G12" s="583"/>
      <c r="H12" s="740"/>
      <c r="I12" s="740"/>
    </row>
    <row r="13" spans="2:12" s="10" customFormat="1" x14ac:dyDescent="0.25">
      <c r="B13" s="273" t="s">
        <v>612</v>
      </c>
      <c r="C13" s="273" t="s">
        <v>1</v>
      </c>
      <c r="D13" s="247" t="e">
        <f>E1GM!D28/E1GM!D26*1000</f>
        <v>#DIV/0!</v>
      </c>
      <c r="E13" s="232">
        <v>1000</v>
      </c>
      <c r="F13" s="233"/>
      <c r="G13" s="586"/>
      <c r="H13" s="740"/>
      <c r="I13" s="740"/>
    </row>
    <row r="14" spans="2:12" s="10" customFormat="1" ht="18" x14ac:dyDescent="0.25">
      <c r="B14" s="281" t="s">
        <v>511</v>
      </c>
      <c r="C14" s="306"/>
      <c r="D14" s="306" t="s">
        <v>51</v>
      </c>
      <c r="E14" s="306" t="s">
        <v>610</v>
      </c>
      <c r="F14" s="283" t="s">
        <v>613</v>
      </c>
      <c r="G14" s="272"/>
      <c r="H14" s="740"/>
      <c r="I14" s="740"/>
    </row>
    <row r="15" spans="2:12" s="51" customFormat="1" x14ac:dyDescent="0.25">
      <c r="B15" s="273" t="s">
        <v>413</v>
      </c>
      <c r="C15" s="273" t="s">
        <v>36</v>
      </c>
      <c r="D15" s="232">
        <v>1</v>
      </c>
      <c r="E15" s="235" t="e">
        <f>(D15*E13)/D13</f>
        <v>#DIV/0!</v>
      </c>
      <c r="F15" s="236" t="s">
        <v>5</v>
      </c>
      <c r="G15" s="588"/>
      <c r="H15" s="740"/>
      <c r="I15" s="740"/>
    </row>
    <row r="16" spans="2:12" s="51" customFormat="1" ht="18" x14ac:dyDescent="0.25">
      <c r="B16" s="281" t="s">
        <v>60</v>
      </c>
      <c r="C16" s="306"/>
      <c r="D16" s="306" t="s">
        <v>51</v>
      </c>
      <c r="E16" s="306" t="s">
        <v>610</v>
      </c>
      <c r="F16" s="283" t="s">
        <v>613</v>
      </c>
      <c r="G16" s="272"/>
      <c r="H16" s="283" t="s">
        <v>535</v>
      </c>
      <c r="I16" s="283" t="s">
        <v>535</v>
      </c>
    </row>
    <row r="17" spans="2:9" s="8" customFormat="1" x14ac:dyDescent="0.25">
      <c r="B17" s="273" t="s">
        <v>34</v>
      </c>
      <c r="C17" s="273" t="s">
        <v>1</v>
      </c>
      <c r="D17" s="232"/>
      <c r="E17" s="237">
        <f>E1GM!D38</f>
        <v>0</v>
      </c>
      <c r="F17" s="238">
        <f>E17*'Dados auxiliares'!$H$75</f>
        <v>0</v>
      </c>
      <c r="G17" s="590"/>
      <c r="H17" s="550" t="e">
        <f>(F17/$E$92)*$F$92</f>
        <v>#DIV/0!</v>
      </c>
      <c r="I17" s="550" t="e">
        <f>(F17/$E$93)*$F$93</f>
        <v>#DIV/0!</v>
      </c>
    </row>
    <row r="18" spans="2:9" s="8" customFormat="1" x14ac:dyDescent="0.25">
      <c r="B18" s="273" t="s">
        <v>20</v>
      </c>
      <c r="C18" s="273" t="s">
        <v>1</v>
      </c>
      <c r="D18" s="361">
        <v>602</v>
      </c>
      <c r="E18" s="237" t="e">
        <f>D18*$E$15/$D$15</f>
        <v>#DIV/0!</v>
      </c>
      <c r="F18" s="238" t="e">
        <f>E18*'Dados auxiliares'!$H$83</f>
        <v>#DIV/0!</v>
      </c>
      <c r="G18" s="590"/>
      <c r="H18" s="550" t="e">
        <f t="shared" ref="H18" si="2">(F18/$E$92)*$F$92</f>
        <v>#DIV/0!</v>
      </c>
      <c r="I18" s="550" t="e">
        <f>(F18/$E$93)*$F$93</f>
        <v>#DIV/0!</v>
      </c>
    </row>
    <row r="19" spans="2:9" x14ac:dyDescent="0.25">
      <c r="B19" s="284" t="s">
        <v>419</v>
      </c>
      <c r="C19" s="285"/>
      <c r="D19" s="285"/>
      <c r="E19" s="286"/>
      <c r="F19" s="287"/>
      <c r="G19" s="589"/>
      <c r="H19" s="287"/>
      <c r="I19" s="287"/>
    </row>
    <row r="20" spans="2:9" s="8" customFormat="1" x14ac:dyDescent="0.25">
      <c r="B20" s="273" t="s">
        <v>164</v>
      </c>
      <c r="C20" s="273" t="s">
        <v>1</v>
      </c>
      <c r="D20" s="232"/>
      <c r="E20" s="237">
        <f>E1GM!D33</f>
        <v>0</v>
      </c>
      <c r="F20" s="238">
        <f>E20*'Dados auxiliares'!$H$52</f>
        <v>0</v>
      </c>
      <c r="G20" s="590"/>
      <c r="H20" s="550" t="e">
        <f t="shared" ref="H20:H39" si="3">(F20/$E$92)*$F$92</f>
        <v>#DIV/0!</v>
      </c>
      <c r="I20" s="550" t="e">
        <f t="shared" ref="I20:I39" si="4">(F20/$E$93)*$F$93</f>
        <v>#DIV/0!</v>
      </c>
    </row>
    <row r="21" spans="2:9" s="8" customFormat="1" x14ac:dyDescent="0.25">
      <c r="B21" s="273" t="s">
        <v>163</v>
      </c>
      <c r="C21" s="273" t="s">
        <v>1</v>
      </c>
      <c r="D21" s="232"/>
      <c r="E21" s="237">
        <f>E1GM!D34</f>
        <v>0</v>
      </c>
      <c r="F21" s="238">
        <f>E21*'Dados auxiliares'!$H$53</f>
        <v>0</v>
      </c>
      <c r="G21" s="590"/>
      <c r="H21" s="550" t="e">
        <f t="shared" si="3"/>
        <v>#DIV/0!</v>
      </c>
      <c r="I21" s="550" t="e">
        <f t="shared" si="4"/>
        <v>#DIV/0!</v>
      </c>
    </row>
    <row r="22" spans="2:9" s="8" customFormat="1" x14ac:dyDescent="0.25">
      <c r="B22" s="273" t="s">
        <v>28</v>
      </c>
      <c r="C22" s="273" t="s">
        <v>1</v>
      </c>
      <c r="D22" s="232"/>
      <c r="E22" s="237">
        <f>E1GM!D35</f>
        <v>0</v>
      </c>
      <c r="F22" s="238">
        <f>E22*'Dados auxiliares'!$H$54</f>
        <v>0</v>
      </c>
      <c r="G22" s="590"/>
      <c r="H22" s="550" t="e">
        <f t="shared" si="3"/>
        <v>#DIV/0!</v>
      </c>
      <c r="I22" s="550" t="e">
        <f t="shared" si="4"/>
        <v>#DIV/0!</v>
      </c>
    </row>
    <row r="23" spans="2:9" s="8" customFormat="1" x14ac:dyDescent="0.25">
      <c r="B23" s="273" t="s">
        <v>393</v>
      </c>
      <c r="C23" s="273" t="s">
        <v>409</v>
      </c>
      <c r="D23" s="232"/>
      <c r="E23" s="237">
        <f>E1GM!D41</f>
        <v>0</v>
      </c>
      <c r="F23" s="238">
        <f>E23*'Dados auxiliares'!$H$55</f>
        <v>0</v>
      </c>
      <c r="G23" s="590"/>
      <c r="H23" s="550" t="e">
        <f t="shared" si="3"/>
        <v>#DIV/0!</v>
      </c>
      <c r="I23" s="550" t="e">
        <f t="shared" si="4"/>
        <v>#DIV/0!</v>
      </c>
    </row>
    <row r="24" spans="2:9" s="8" customFormat="1" x14ac:dyDescent="0.25">
      <c r="B24" s="273" t="s">
        <v>551</v>
      </c>
      <c r="C24" s="273" t="s">
        <v>409</v>
      </c>
      <c r="D24" s="232"/>
      <c r="E24" s="237">
        <f>E1GM!D42</f>
        <v>0</v>
      </c>
      <c r="F24" s="238">
        <f>E24*'Dados auxiliares'!$H$56</f>
        <v>0</v>
      </c>
      <c r="G24" s="590"/>
      <c r="H24" s="550" t="e">
        <f t="shared" si="3"/>
        <v>#DIV/0!</v>
      </c>
      <c r="I24" s="550" t="e">
        <f t="shared" si="4"/>
        <v>#DIV/0!</v>
      </c>
    </row>
    <row r="25" spans="2:9" s="8" customFormat="1" x14ac:dyDescent="0.25">
      <c r="B25" s="273" t="s">
        <v>558</v>
      </c>
      <c r="C25" s="273" t="s">
        <v>410</v>
      </c>
      <c r="D25" s="232"/>
      <c r="E25" s="237">
        <f>E1GM!D43</f>
        <v>0</v>
      </c>
      <c r="F25" s="238">
        <f>E25*'Dados auxiliares'!$H$57</f>
        <v>0</v>
      </c>
      <c r="G25" s="590"/>
      <c r="H25" s="550" t="e">
        <f t="shared" si="3"/>
        <v>#DIV/0!</v>
      </c>
      <c r="I25" s="550" t="e">
        <f t="shared" si="4"/>
        <v>#DIV/0!</v>
      </c>
    </row>
    <row r="26" spans="2:9" s="8" customFormat="1" x14ac:dyDescent="0.25">
      <c r="B26" s="273" t="s">
        <v>553</v>
      </c>
      <c r="C26" s="273" t="s">
        <v>409</v>
      </c>
      <c r="D26" s="232"/>
      <c r="E26" s="237">
        <f>E1GM!D44</f>
        <v>0</v>
      </c>
      <c r="F26" s="238">
        <f>E26*'Dados auxiliares'!$H$58</f>
        <v>0</v>
      </c>
      <c r="G26" s="590"/>
      <c r="H26" s="550" t="e">
        <f t="shared" si="3"/>
        <v>#DIV/0!</v>
      </c>
      <c r="I26" s="550" t="e">
        <f t="shared" si="4"/>
        <v>#DIV/0!</v>
      </c>
    </row>
    <row r="27" spans="2:9" s="8" customFormat="1" x14ac:dyDescent="0.25">
      <c r="B27" s="273" t="s">
        <v>559</v>
      </c>
      <c r="C27" s="273" t="s">
        <v>410</v>
      </c>
      <c r="D27" s="232"/>
      <c r="E27" s="237">
        <f>E1GM!D45</f>
        <v>0</v>
      </c>
      <c r="F27" s="238">
        <f>E27*'Dados auxiliares'!$H$59</f>
        <v>0</v>
      </c>
      <c r="G27" s="590"/>
      <c r="H27" s="550" t="e">
        <f t="shared" si="3"/>
        <v>#DIV/0!</v>
      </c>
      <c r="I27" s="550" t="e">
        <f t="shared" si="4"/>
        <v>#DIV/0!</v>
      </c>
    </row>
    <row r="28" spans="2:9" s="8" customFormat="1" x14ac:dyDescent="0.25">
      <c r="B28" s="273" t="s">
        <v>554</v>
      </c>
      <c r="C28" s="273" t="s">
        <v>409</v>
      </c>
      <c r="D28" s="232"/>
      <c r="E28" s="237">
        <f>E1GM!D46</f>
        <v>0</v>
      </c>
      <c r="F28" s="238">
        <f>E28*'Dados auxiliares'!$H$60</f>
        <v>0</v>
      </c>
      <c r="G28" s="590"/>
      <c r="H28" s="550" t="e">
        <f t="shared" si="3"/>
        <v>#DIV/0!</v>
      </c>
      <c r="I28" s="550" t="e">
        <f t="shared" si="4"/>
        <v>#DIV/0!</v>
      </c>
    </row>
    <row r="29" spans="2:9" s="8" customFormat="1" x14ac:dyDescent="0.25">
      <c r="B29" s="273" t="s">
        <v>555</v>
      </c>
      <c r="C29" s="273" t="s">
        <v>409</v>
      </c>
      <c r="D29" s="232"/>
      <c r="E29" s="237">
        <f>E1GM!D47</f>
        <v>0</v>
      </c>
      <c r="F29" s="238">
        <f>E29*'Dados auxiliares'!$H$61</f>
        <v>0</v>
      </c>
      <c r="G29" s="590"/>
      <c r="H29" s="550" t="e">
        <f t="shared" si="3"/>
        <v>#DIV/0!</v>
      </c>
      <c r="I29" s="550" t="e">
        <f t="shared" si="4"/>
        <v>#DIV/0!</v>
      </c>
    </row>
    <row r="30" spans="2:9" s="8" customFormat="1" x14ac:dyDescent="0.25">
      <c r="B30" s="273" t="s">
        <v>399</v>
      </c>
      <c r="C30" s="273" t="s">
        <v>409</v>
      </c>
      <c r="D30" s="232"/>
      <c r="E30" s="237">
        <f>E1GM!D48</f>
        <v>0</v>
      </c>
      <c r="F30" s="238">
        <f>E30*'Dados auxiliares'!$H$62</f>
        <v>0</v>
      </c>
      <c r="G30" s="590"/>
      <c r="H30" s="550" t="e">
        <f t="shared" si="3"/>
        <v>#DIV/0!</v>
      </c>
      <c r="I30" s="550" t="e">
        <f t="shared" si="4"/>
        <v>#DIV/0!</v>
      </c>
    </row>
    <row r="31" spans="2:9" s="8" customFormat="1" x14ac:dyDescent="0.25">
      <c r="B31" s="273" t="s">
        <v>556</v>
      </c>
      <c r="C31" s="273" t="s">
        <v>409</v>
      </c>
      <c r="D31" s="232"/>
      <c r="E31" s="237">
        <f>E1GM!D49</f>
        <v>0</v>
      </c>
      <c r="F31" s="238">
        <f>E31*'Dados auxiliares'!$H$63</f>
        <v>0</v>
      </c>
      <c r="G31" s="590"/>
      <c r="H31" s="550" t="e">
        <f t="shared" si="3"/>
        <v>#DIV/0!</v>
      </c>
      <c r="I31" s="550" t="e">
        <f t="shared" si="4"/>
        <v>#DIV/0!</v>
      </c>
    </row>
    <row r="32" spans="2:9" s="8" customFormat="1" x14ac:dyDescent="0.25">
      <c r="B32" s="273" t="s">
        <v>557</v>
      </c>
      <c r="C32" s="273" t="s">
        <v>409</v>
      </c>
      <c r="D32" s="232"/>
      <c r="E32" s="237">
        <f>E1GM!D50</f>
        <v>0</v>
      </c>
      <c r="F32" s="238">
        <f>E32*'Dados auxiliares'!$H$64</f>
        <v>0</v>
      </c>
      <c r="G32" s="590"/>
      <c r="H32" s="550" t="e">
        <f t="shared" si="3"/>
        <v>#DIV/0!</v>
      </c>
      <c r="I32" s="550" t="e">
        <f t="shared" si="4"/>
        <v>#DIV/0!</v>
      </c>
    </row>
    <row r="33" spans="2:9" s="8" customFormat="1" x14ac:dyDescent="0.25">
      <c r="B33" s="273" t="s">
        <v>560</v>
      </c>
      <c r="C33" s="273" t="s">
        <v>410</v>
      </c>
      <c r="D33" s="241"/>
      <c r="E33" s="237">
        <f>E1GM!D51</f>
        <v>0</v>
      </c>
      <c r="F33" s="242">
        <f>E33*'Dados auxiliares'!$H$66</f>
        <v>0</v>
      </c>
      <c r="G33" s="591"/>
      <c r="H33" s="550" t="e">
        <f t="shared" si="3"/>
        <v>#DIV/0!</v>
      </c>
      <c r="I33" s="550" t="e">
        <f t="shared" si="4"/>
        <v>#DIV/0!</v>
      </c>
    </row>
    <row r="34" spans="2:9" s="8" customFormat="1" x14ac:dyDescent="0.25">
      <c r="B34" s="273" t="s">
        <v>561</v>
      </c>
      <c r="C34" s="273" t="s">
        <v>410</v>
      </c>
      <c r="D34" s="241"/>
      <c r="E34" s="237">
        <f>E1GM!D52</f>
        <v>0</v>
      </c>
      <c r="F34" s="242">
        <f>E34*'Dados auxiliares'!$H$67</f>
        <v>0</v>
      </c>
      <c r="G34" s="591"/>
      <c r="H34" s="550" t="e">
        <f t="shared" si="3"/>
        <v>#DIV/0!</v>
      </c>
      <c r="I34" s="550" t="e">
        <f t="shared" si="4"/>
        <v>#DIV/0!</v>
      </c>
    </row>
    <row r="35" spans="2:9" s="8" customFormat="1" x14ac:dyDescent="0.25">
      <c r="B35" s="273" t="s">
        <v>562</v>
      </c>
      <c r="C35" s="273" t="s">
        <v>411</v>
      </c>
      <c r="D35" s="232"/>
      <c r="E35" s="237">
        <f>E1GM!D53</f>
        <v>0</v>
      </c>
      <c r="F35" s="238">
        <f>E35*'Dados auxiliares'!H$68</f>
        <v>0</v>
      </c>
      <c r="G35" s="590"/>
      <c r="H35" s="550" t="e">
        <f t="shared" si="3"/>
        <v>#DIV/0!</v>
      </c>
      <c r="I35" s="550" t="e">
        <f t="shared" si="4"/>
        <v>#DIV/0!</v>
      </c>
    </row>
    <row r="36" spans="2:9" s="8" customFormat="1" x14ac:dyDescent="0.25">
      <c r="B36" s="273" t="s">
        <v>256</v>
      </c>
      <c r="C36" s="273" t="s">
        <v>409</v>
      </c>
      <c r="D36" s="232"/>
      <c r="E36" s="237">
        <f>E1GM!D54</f>
        <v>0</v>
      </c>
      <c r="F36" s="238">
        <f>E36*'Dados auxiliares'!H$69</f>
        <v>0</v>
      </c>
      <c r="G36" s="590"/>
      <c r="H36" s="550" t="e">
        <f t="shared" si="3"/>
        <v>#DIV/0!</v>
      </c>
      <c r="I36" s="550" t="e">
        <f t="shared" si="4"/>
        <v>#DIV/0!</v>
      </c>
    </row>
    <row r="37" spans="2:9" s="8" customFormat="1" x14ac:dyDescent="0.25">
      <c r="B37" s="273" t="s">
        <v>404</v>
      </c>
      <c r="C37" s="273" t="s">
        <v>410</v>
      </c>
      <c r="D37" s="241"/>
      <c r="E37" s="237">
        <f>E1GM!D55</f>
        <v>0</v>
      </c>
      <c r="F37" s="238">
        <f>E37*'Dados auxiliares'!H$70</f>
        <v>0</v>
      </c>
      <c r="G37" s="590"/>
      <c r="H37" s="550" t="e">
        <f t="shared" si="3"/>
        <v>#DIV/0!</v>
      </c>
      <c r="I37" s="550" t="e">
        <f t="shared" si="4"/>
        <v>#DIV/0!</v>
      </c>
    </row>
    <row r="38" spans="2:9" s="8" customFormat="1" x14ac:dyDescent="0.25">
      <c r="B38" s="273" t="s">
        <v>405</v>
      </c>
      <c r="C38" s="273" t="s">
        <v>411</v>
      </c>
      <c r="D38" s="232"/>
      <c r="E38" s="237">
        <f>E1GM!D56</f>
        <v>0</v>
      </c>
      <c r="F38" s="238">
        <f>E38*'Dados auxiliares'!H$71</f>
        <v>0</v>
      </c>
      <c r="G38" s="590"/>
      <c r="H38" s="550" t="e">
        <f t="shared" si="3"/>
        <v>#DIV/0!</v>
      </c>
      <c r="I38" s="550" t="e">
        <f t="shared" si="4"/>
        <v>#DIV/0!</v>
      </c>
    </row>
    <row r="39" spans="2:9" s="8" customFormat="1" x14ac:dyDescent="0.25">
      <c r="B39" s="273" t="s">
        <v>406</v>
      </c>
      <c r="C39" s="273" t="s">
        <v>1</v>
      </c>
      <c r="D39" s="232"/>
      <c r="E39" s="237">
        <f>SUM(E1GM!D59:D63)</f>
        <v>0</v>
      </c>
      <c r="F39" s="314">
        <v>0</v>
      </c>
      <c r="G39" s="614"/>
      <c r="H39" s="550" t="e">
        <f t="shared" si="3"/>
        <v>#DIV/0!</v>
      </c>
      <c r="I39" s="550" t="e">
        <f t="shared" si="4"/>
        <v>#DIV/0!</v>
      </c>
    </row>
    <row r="40" spans="2:9" x14ac:dyDescent="0.25">
      <c r="B40" s="284" t="s">
        <v>340</v>
      </c>
      <c r="C40" s="285"/>
      <c r="D40" s="285"/>
      <c r="E40" s="288"/>
      <c r="F40" s="289"/>
      <c r="G40" s="593"/>
      <c r="H40" s="287"/>
      <c r="I40" s="287"/>
    </row>
    <row r="41" spans="2:9" x14ac:dyDescent="0.25">
      <c r="B41" s="273" t="s">
        <v>214</v>
      </c>
      <c r="C41" s="273" t="s">
        <v>1</v>
      </c>
      <c r="D41" s="246">
        <f>SUM(D42:D59)</f>
        <v>4.0067465003383447</v>
      </c>
      <c r="E41" s="246" t="e">
        <f>SUM(E42:E59)</f>
        <v>#DIV/0!</v>
      </c>
      <c r="F41" s="247" t="e">
        <f>SUM(F42:F59)</f>
        <v>#DIV/0!</v>
      </c>
      <c r="G41" s="594"/>
      <c r="H41" s="551" t="e">
        <f>(F41/$E$92)*$F$92</f>
        <v>#DIV/0!</v>
      </c>
      <c r="I41" s="551" t="e">
        <f>(F41/$E$93)*$F$93</f>
        <v>#DIV/0!</v>
      </c>
    </row>
    <row r="42" spans="2:9" outlineLevel="1" x14ac:dyDescent="0.25">
      <c r="B42" s="273" t="s">
        <v>32</v>
      </c>
      <c r="C42" s="273" t="s">
        <v>1</v>
      </c>
      <c r="D42" s="245">
        <v>0.75187392980081791</v>
      </c>
      <c r="E42" s="237" t="e">
        <f>D42*$E$15</f>
        <v>#DIV/0!</v>
      </c>
      <c r="F42" s="238" t="e">
        <f>E42*'Dados auxiliares'!$H$72</f>
        <v>#DIV/0!</v>
      </c>
      <c r="G42" s="590"/>
      <c r="H42" s="550"/>
      <c r="I42" s="550"/>
    </row>
    <row r="43" spans="2:9" outlineLevel="1" x14ac:dyDescent="0.25">
      <c r="B43" s="273" t="s">
        <v>78</v>
      </c>
      <c r="C43" s="273" t="s">
        <v>1</v>
      </c>
      <c r="D43" s="245">
        <v>2.0932993027155846</v>
      </c>
      <c r="E43" s="237" t="e">
        <f t="shared" ref="E43:E58" si="5">D43*$E$15</f>
        <v>#DIV/0!</v>
      </c>
      <c r="F43" s="238" t="e">
        <f>E43*'Dados auxiliares'!$H$74</f>
        <v>#DIV/0!</v>
      </c>
      <c r="G43" s="590"/>
      <c r="H43" s="550"/>
      <c r="I43" s="550"/>
    </row>
    <row r="44" spans="2:9" outlineLevel="1" x14ac:dyDescent="0.25">
      <c r="B44" s="273" t="s">
        <v>79</v>
      </c>
      <c r="C44" s="273" t="s">
        <v>1</v>
      </c>
      <c r="D44" s="245">
        <v>2.36375297890494E-3</v>
      </c>
      <c r="E44" s="237" t="e">
        <f t="shared" si="5"/>
        <v>#DIV/0!</v>
      </c>
      <c r="F44" s="238" t="e">
        <f>E44*'Dados auxiliares'!$H$74</f>
        <v>#DIV/0!</v>
      </c>
      <c r="G44" s="590"/>
      <c r="H44" s="550"/>
      <c r="I44" s="550"/>
    </row>
    <row r="45" spans="2:9" outlineLevel="1" x14ac:dyDescent="0.25">
      <c r="B45" s="273" t="s">
        <v>80</v>
      </c>
      <c r="C45" s="273" t="s">
        <v>1</v>
      </c>
      <c r="D45" s="245">
        <v>1.8326164347288825E-2</v>
      </c>
      <c r="E45" s="237" t="e">
        <f t="shared" si="5"/>
        <v>#DIV/0!</v>
      </c>
      <c r="F45" s="238" t="e">
        <f>E45*'Dados auxiliares'!$H$74</f>
        <v>#DIV/0!</v>
      </c>
      <c r="G45" s="590"/>
      <c r="H45" s="550"/>
      <c r="I45" s="550"/>
    </row>
    <row r="46" spans="2:9" outlineLevel="1" x14ac:dyDescent="0.25">
      <c r="B46" s="273" t="s">
        <v>81</v>
      </c>
      <c r="C46" s="273" t="s">
        <v>1</v>
      </c>
      <c r="D46" s="245">
        <v>5.5545470593427286E-3</v>
      </c>
      <c r="E46" s="237" t="e">
        <f t="shared" si="5"/>
        <v>#DIV/0!</v>
      </c>
      <c r="F46" s="238" t="e">
        <f>E46*'Dados auxiliares'!$H$74</f>
        <v>#DIV/0!</v>
      </c>
      <c r="G46" s="590"/>
      <c r="H46" s="550"/>
      <c r="I46" s="550"/>
    </row>
    <row r="47" spans="2:9" outlineLevel="1" x14ac:dyDescent="0.25">
      <c r="B47" s="273" t="s">
        <v>82</v>
      </c>
      <c r="C47" s="273" t="s">
        <v>1</v>
      </c>
      <c r="D47" s="245">
        <v>1.1075833357851068E-2</v>
      </c>
      <c r="E47" s="237" t="e">
        <f t="shared" si="5"/>
        <v>#DIV/0!</v>
      </c>
      <c r="F47" s="238" t="e">
        <f>E47*'Dados auxiliares'!$H$74</f>
        <v>#DIV/0!</v>
      </c>
      <c r="G47" s="590"/>
      <c r="H47" s="550"/>
      <c r="I47" s="550"/>
    </row>
    <row r="48" spans="2:9" outlineLevel="1" x14ac:dyDescent="0.25">
      <c r="B48" s="273" t="s">
        <v>76</v>
      </c>
      <c r="C48" s="273" t="s">
        <v>1</v>
      </c>
      <c r="D48" s="245">
        <v>3.1056518285327604E-2</v>
      </c>
      <c r="E48" s="237" t="e">
        <f t="shared" si="5"/>
        <v>#DIV/0!</v>
      </c>
      <c r="F48" s="238" t="e">
        <f>E48*'Dados auxiliares'!$H$74</f>
        <v>#DIV/0!</v>
      </c>
      <c r="G48" s="590"/>
      <c r="H48" s="550"/>
      <c r="I48" s="550"/>
    </row>
    <row r="49" spans="2:9" outlineLevel="1" x14ac:dyDescent="0.25">
      <c r="B49" s="273" t="s">
        <v>77</v>
      </c>
      <c r="C49" s="273" t="s">
        <v>1</v>
      </c>
      <c r="D49" s="245">
        <v>9.1630821736444126E-3</v>
      </c>
      <c r="E49" s="237" t="e">
        <f t="shared" si="5"/>
        <v>#DIV/0!</v>
      </c>
      <c r="F49" s="238" t="e">
        <f>E49*'Dados auxiliares'!$H$74</f>
        <v>#DIV/0!</v>
      </c>
      <c r="G49" s="590"/>
      <c r="H49" s="550"/>
      <c r="I49" s="550"/>
    </row>
    <row r="50" spans="2:9" outlineLevel="1" x14ac:dyDescent="0.25">
      <c r="B50" s="273" t="s">
        <v>74</v>
      </c>
      <c r="C50" s="273" t="s">
        <v>1</v>
      </c>
      <c r="D50" s="245">
        <v>1.1264232545823649E-2</v>
      </c>
      <c r="E50" s="237" t="e">
        <f t="shared" si="5"/>
        <v>#DIV/0!</v>
      </c>
      <c r="F50" s="238" t="e">
        <f>E50*'Dados auxiliares'!$H$74</f>
        <v>#DIV/0!</v>
      </c>
      <c r="G50" s="590"/>
      <c r="H50" s="550"/>
      <c r="I50" s="550"/>
    </row>
    <row r="51" spans="2:9" outlineLevel="1" x14ac:dyDescent="0.25">
      <c r="B51" s="273" t="s">
        <v>75</v>
      </c>
      <c r="C51" s="273" t="s">
        <v>1</v>
      </c>
      <c r="D51" s="245">
        <v>1.2422607314131043E-2</v>
      </c>
      <c r="E51" s="237" t="e">
        <f t="shared" si="5"/>
        <v>#DIV/0!</v>
      </c>
      <c r="F51" s="238" t="e">
        <f>E51*'Dados auxiliares'!$H$74</f>
        <v>#DIV/0!</v>
      </c>
      <c r="G51" s="590"/>
      <c r="H51" s="550"/>
      <c r="I51" s="550"/>
    </row>
    <row r="52" spans="2:9" outlineLevel="1" x14ac:dyDescent="0.25">
      <c r="B52" s="273" t="s">
        <v>83</v>
      </c>
      <c r="C52" s="273" t="s">
        <v>1</v>
      </c>
      <c r="D52" s="245">
        <v>0.16669375386154345</v>
      </c>
      <c r="E52" s="237" t="e">
        <f t="shared" si="5"/>
        <v>#DIV/0!</v>
      </c>
      <c r="F52" s="238" t="e">
        <f>E52*'Dados auxiliares'!$H$74</f>
        <v>#DIV/0!</v>
      </c>
      <c r="G52" s="590"/>
      <c r="H52" s="550"/>
      <c r="I52" s="550"/>
    </row>
    <row r="53" spans="2:9" outlineLevel="1" x14ac:dyDescent="0.25">
      <c r="B53" s="273" t="s">
        <v>73</v>
      </c>
      <c r="C53" s="273" t="s">
        <v>1</v>
      </c>
      <c r="D53" s="245">
        <v>9.9529583100414848E-2</v>
      </c>
      <c r="E53" s="237" t="e">
        <f t="shared" si="5"/>
        <v>#DIV/0!</v>
      </c>
      <c r="F53" s="238" t="e">
        <f>E53*'Dados auxiliares'!$H$74</f>
        <v>#DIV/0!</v>
      </c>
      <c r="G53" s="590"/>
      <c r="H53" s="550"/>
      <c r="I53" s="550"/>
    </row>
    <row r="54" spans="2:9" outlineLevel="1" x14ac:dyDescent="0.25">
      <c r="B54" s="273" t="s">
        <v>2</v>
      </c>
      <c r="C54" s="273" t="s">
        <v>1</v>
      </c>
      <c r="D54" s="245">
        <v>6.649568978198829E-2</v>
      </c>
      <c r="E54" s="237" t="e">
        <f t="shared" si="5"/>
        <v>#DIV/0!</v>
      </c>
      <c r="F54" s="238" t="e">
        <f>E54*'Dados auxiliares'!$H$74</f>
        <v>#DIV/0!</v>
      </c>
      <c r="G54" s="590"/>
      <c r="H54" s="550"/>
      <c r="I54" s="550"/>
    </row>
    <row r="55" spans="2:9" outlineLevel="1" x14ac:dyDescent="0.25">
      <c r="B55" s="273" t="s">
        <v>72</v>
      </c>
      <c r="C55" s="273" t="s">
        <v>1</v>
      </c>
      <c r="D55" s="245">
        <v>5.0786136691282468E-3</v>
      </c>
      <c r="E55" s="237" t="e">
        <f t="shared" si="5"/>
        <v>#DIV/0!</v>
      </c>
      <c r="F55" s="238" t="e">
        <f>E55*'Dados auxiliares'!$H$74</f>
        <v>#DIV/0!</v>
      </c>
      <c r="G55" s="590"/>
      <c r="H55" s="550"/>
      <c r="I55" s="550"/>
    </row>
    <row r="56" spans="2:9" outlineLevel="1" x14ac:dyDescent="0.25">
      <c r="B56" s="273" t="s">
        <v>70</v>
      </c>
      <c r="C56" s="273" t="s">
        <v>1</v>
      </c>
      <c r="D56" s="245">
        <v>3.9458648386242615E-3</v>
      </c>
      <c r="E56" s="237" t="e">
        <f t="shared" si="5"/>
        <v>#DIV/0!</v>
      </c>
      <c r="F56" s="238" t="e">
        <f>E56*'Dados auxiliares'!$H$74</f>
        <v>#DIV/0!</v>
      </c>
      <c r="G56" s="590"/>
      <c r="H56" s="550"/>
      <c r="I56" s="550"/>
    </row>
    <row r="57" spans="2:9" outlineLevel="1" x14ac:dyDescent="0.25">
      <c r="B57" s="273" t="s">
        <v>71</v>
      </c>
      <c r="C57" s="273" t="s">
        <v>1</v>
      </c>
      <c r="D57" s="245">
        <v>1.6362646738650741E-3</v>
      </c>
      <c r="E57" s="237" t="e">
        <f t="shared" si="5"/>
        <v>#DIV/0!</v>
      </c>
      <c r="F57" s="238" t="e">
        <f>E57*'Dados auxiliares'!$H$74</f>
        <v>#DIV/0!</v>
      </c>
      <c r="G57" s="590"/>
      <c r="H57" s="550"/>
      <c r="I57" s="550"/>
    </row>
    <row r="58" spans="2:9" outlineLevel="1" x14ac:dyDescent="0.25">
      <c r="B58" s="273" t="s">
        <v>69</v>
      </c>
      <c r="C58" s="273" t="s">
        <v>1</v>
      </c>
      <c r="D58" s="245">
        <v>0.14463274588837566</v>
      </c>
      <c r="E58" s="237" t="e">
        <f t="shared" si="5"/>
        <v>#DIV/0!</v>
      </c>
      <c r="F58" s="238" t="e">
        <f>E58*'Dados auxiliares'!$H$74</f>
        <v>#DIV/0!</v>
      </c>
      <c r="G58" s="590"/>
      <c r="H58" s="550"/>
      <c r="I58" s="550"/>
    </row>
    <row r="59" spans="2:9" outlineLevel="1" x14ac:dyDescent="0.25">
      <c r="B59" s="273" t="s">
        <v>68</v>
      </c>
      <c r="C59" s="273" t="s">
        <v>1</v>
      </c>
      <c r="D59" s="245">
        <v>0.57233401394568828</v>
      </c>
      <c r="E59" s="237" t="e">
        <f>D59*$E$15</f>
        <v>#DIV/0!</v>
      </c>
      <c r="F59" s="238" t="e">
        <f>E59*'Dados auxiliares'!$H$74</f>
        <v>#DIV/0!</v>
      </c>
      <c r="G59" s="590"/>
      <c r="H59" s="550"/>
      <c r="I59" s="550"/>
    </row>
    <row r="60" spans="2:9" x14ac:dyDescent="0.25">
      <c r="B60" s="284" t="s">
        <v>243</v>
      </c>
      <c r="C60" s="285"/>
      <c r="D60" s="285"/>
      <c r="E60" s="288"/>
      <c r="F60" s="289"/>
      <c r="G60" s="593"/>
      <c r="H60" s="287"/>
      <c r="I60" s="287"/>
    </row>
    <row r="61" spans="2:9" x14ac:dyDescent="0.25">
      <c r="B61" s="273" t="s">
        <v>309</v>
      </c>
      <c r="C61" s="273" t="s">
        <v>1</v>
      </c>
      <c r="D61" s="232"/>
      <c r="E61" s="237">
        <f>(E1GM!$D$66*(1-0.08)+E1GM!$D$67*(1-0.1)+E1GM!$D$68*(1-E1GM!$G$68)+E1GM!$D$69*(1-0.2)+E1GM!$D$70*(1-0.3)+E1GM!$D$71*(1-1))*('Dados auxiliares'!$D$26)</f>
        <v>0</v>
      </c>
      <c r="F61" s="238">
        <f>E61*'Dados auxiliares'!$H$116</f>
        <v>0</v>
      </c>
      <c r="G61" s="590"/>
      <c r="H61" s="550" t="e">
        <f t="shared" ref="H61:H71" si="6">(F61/$E$92)*$F$92</f>
        <v>#DIV/0!</v>
      </c>
      <c r="I61" s="550" t="e">
        <f t="shared" ref="I61:I71" si="7">(F61/$E$93)*$F$93</f>
        <v>#DIV/0!</v>
      </c>
    </row>
    <row r="62" spans="2:9" x14ac:dyDescent="0.25">
      <c r="B62" s="273" t="s">
        <v>187</v>
      </c>
      <c r="C62" s="273" t="s">
        <v>1</v>
      </c>
      <c r="D62" s="232"/>
      <c r="E62" s="237">
        <f>(E1GM!$D$66*(0.08)+E1GM!$D$67*(0.1)+E1GM!$D$68*(E1GM!$G$68)+E1GM!$D$69*(0.2)+E1GM!$D$70*(0.3)+E1GM!$D$71*(1))*('Dados auxiliares'!$D$17)</f>
        <v>0</v>
      </c>
      <c r="F62" s="238">
        <f>E62*'Dados auxiliares'!$H$117</f>
        <v>0</v>
      </c>
      <c r="G62" s="590"/>
      <c r="H62" s="550" t="e">
        <f t="shared" si="6"/>
        <v>#DIV/0!</v>
      </c>
      <c r="I62" s="550" t="e">
        <f t="shared" si="7"/>
        <v>#DIV/0!</v>
      </c>
    </row>
    <row r="63" spans="2:9" x14ac:dyDescent="0.25">
      <c r="B63" s="273" t="s">
        <v>188</v>
      </c>
      <c r="C63" s="273" t="s">
        <v>1</v>
      </c>
      <c r="D63" s="232"/>
      <c r="E63" s="237">
        <f>E1GM!$D$72*(1-'FE''s queima combustíveis'!$D$19)*'Dados auxiliares'!$D$24</f>
        <v>0</v>
      </c>
      <c r="F63" s="238">
        <f>E63*'Dados auxiliares'!$H$120</f>
        <v>0</v>
      </c>
      <c r="G63" s="590"/>
      <c r="H63" s="550" t="e">
        <f t="shared" si="6"/>
        <v>#DIV/0!</v>
      </c>
      <c r="I63" s="550" t="e">
        <f t="shared" si="7"/>
        <v>#DIV/0!</v>
      </c>
    </row>
    <row r="64" spans="2:9" x14ac:dyDescent="0.25">
      <c r="B64" s="273" t="s">
        <v>45</v>
      </c>
      <c r="C64" s="273" t="s">
        <v>1</v>
      </c>
      <c r="D64" s="232"/>
      <c r="E64" s="237">
        <f>E1GM!$D$72*('FE''s queima combustíveis'!$D$19)*'Dados auxiliares'!$D$15</f>
        <v>0</v>
      </c>
      <c r="F64" s="238">
        <f>E64*'Dados auxiliares'!$H$121</f>
        <v>0</v>
      </c>
      <c r="G64" s="590"/>
      <c r="H64" s="550" t="e">
        <f t="shared" si="6"/>
        <v>#DIV/0!</v>
      </c>
      <c r="I64" s="550" t="e">
        <f t="shared" si="7"/>
        <v>#DIV/0!</v>
      </c>
    </row>
    <row r="65" spans="2:9" x14ac:dyDescent="0.25">
      <c r="B65" s="273" t="s">
        <v>46</v>
      </c>
      <c r="C65" s="273" t="s">
        <v>1</v>
      </c>
      <c r="D65" s="232"/>
      <c r="E65" s="237">
        <f>E1GM!$D$73*'Dados auxiliares'!$D$16</f>
        <v>0</v>
      </c>
      <c r="F65" s="238">
        <f>E65*'Dados auxiliares'!$H$122</f>
        <v>0</v>
      </c>
      <c r="G65" s="590"/>
      <c r="H65" s="550" t="e">
        <f t="shared" si="6"/>
        <v>#DIV/0!</v>
      </c>
      <c r="I65" s="550" t="e">
        <f t="shared" si="7"/>
        <v>#DIV/0!</v>
      </c>
    </row>
    <row r="66" spans="2:9" x14ac:dyDescent="0.25">
      <c r="B66" s="273" t="s">
        <v>468</v>
      </c>
      <c r="C66" s="273" t="s">
        <v>169</v>
      </c>
      <c r="D66" s="232"/>
      <c r="E66" s="237">
        <f>E1GM!D74</f>
        <v>0</v>
      </c>
      <c r="F66" s="238">
        <f>E66*('Dados auxiliares'!$D$18*1000)*'Dados auxiliares'!$F$18*'Dados auxiliares'!$H$125</f>
        <v>0</v>
      </c>
      <c r="G66" s="590"/>
      <c r="H66" s="550" t="e">
        <f t="shared" si="6"/>
        <v>#DIV/0!</v>
      </c>
      <c r="I66" s="550" t="e">
        <f t="shared" si="7"/>
        <v>#DIV/0!</v>
      </c>
    </row>
    <row r="67" spans="2:9" x14ac:dyDescent="0.25">
      <c r="B67" s="273" t="s">
        <v>376</v>
      </c>
      <c r="C67" s="273" t="s">
        <v>57</v>
      </c>
      <c r="D67" s="232"/>
      <c r="E67" s="237">
        <f>E1GM!D76</f>
        <v>0</v>
      </c>
      <c r="F67" s="238">
        <f>E67*'Dados auxiliares'!$H$107</f>
        <v>0</v>
      </c>
      <c r="G67" s="590"/>
      <c r="H67" s="550" t="e">
        <f t="shared" si="6"/>
        <v>#DIV/0!</v>
      </c>
      <c r="I67" s="550" t="e">
        <f t="shared" si="7"/>
        <v>#DIV/0!</v>
      </c>
    </row>
    <row r="68" spans="2:9" x14ac:dyDescent="0.25">
      <c r="B68" s="273" t="s">
        <v>375</v>
      </c>
      <c r="C68" s="273" t="s">
        <v>57</v>
      </c>
      <c r="D68" s="232"/>
      <c r="E68" s="237">
        <f>E1GM!D77</f>
        <v>0</v>
      </c>
      <c r="F68" s="238">
        <f>E68*'Dados auxiliares'!$H$108</f>
        <v>0</v>
      </c>
      <c r="G68" s="590"/>
      <c r="H68" s="550" t="e">
        <f t="shared" si="6"/>
        <v>#DIV/0!</v>
      </c>
      <c r="I68" s="550" t="e">
        <f t="shared" si="7"/>
        <v>#DIV/0!</v>
      </c>
    </row>
    <row r="69" spans="2:9" x14ac:dyDescent="0.25">
      <c r="B69" s="273" t="s">
        <v>372</v>
      </c>
      <c r="C69" s="273" t="s">
        <v>57</v>
      </c>
      <c r="D69" s="232"/>
      <c r="E69" s="237">
        <f>E1GM!D78</f>
        <v>0</v>
      </c>
      <c r="F69" s="238">
        <f>E69*'Dados auxiliares'!$H$109</f>
        <v>0</v>
      </c>
      <c r="G69" s="590"/>
      <c r="H69" s="550" t="e">
        <f t="shared" si="6"/>
        <v>#DIV/0!</v>
      </c>
      <c r="I69" s="550" t="e">
        <f t="shared" si="7"/>
        <v>#DIV/0!</v>
      </c>
    </row>
    <row r="70" spans="2:9" x14ac:dyDescent="0.25">
      <c r="B70" s="273" t="s">
        <v>373</v>
      </c>
      <c r="C70" s="273" t="s">
        <v>57</v>
      </c>
      <c r="D70" s="232"/>
      <c r="E70" s="237">
        <f>E1GM!D79</f>
        <v>0</v>
      </c>
      <c r="F70" s="238">
        <f>E70*'Dados auxiliares'!$H$110</f>
        <v>0</v>
      </c>
      <c r="G70" s="590"/>
      <c r="H70" s="550" t="e">
        <f t="shared" si="6"/>
        <v>#DIV/0!</v>
      </c>
      <c r="I70" s="550" t="e">
        <f t="shared" si="7"/>
        <v>#DIV/0!</v>
      </c>
    </row>
    <row r="71" spans="2:9" x14ac:dyDescent="0.25">
      <c r="B71" s="273" t="s">
        <v>374</v>
      </c>
      <c r="C71" s="273" t="s">
        <v>57</v>
      </c>
      <c r="D71" s="232"/>
      <c r="E71" s="237">
        <f>E1GM!D80</f>
        <v>0</v>
      </c>
      <c r="F71" s="238">
        <f>E71*'Dados auxiliares'!$H$111</f>
        <v>0</v>
      </c>
      <c r="G71" s="590"/>
      <c r="H71" s="550" t="e">
        <f t="shared" si="6"/>
        <v>#DIV/0!</v>
      </c>
      <c r="I71" s="550" t="e">
        <f t="shared" si="7"/>
        <v>#DIV/0!</v>
      </c>
    </row>
    <row r="72" spans="2:9" ht="18" x14ac:dyDescent="0.25">
      <c r="B72" s="281" t="s">
        <v>52</v>
      </c>
      <c r="C72" s="306"/>
      <c r="D72" s="306" t="s">
        <v>51</v>
      </c>
      <c r="E72" s="306" t="s">
        <v>610</v>
      </c>
      <c r="F72" s="283" t="s">
        <v>613</v>
      </c>
      <c r="G72" s="272"/>
      <c r="H72" s="283" t="s">
        <v>535</v>
      </c>
      <c r="I72" s="283" t="s">
        <v>535</v>
      </c>
    </row>
    <row r="73" spans="2:9" ht="18" x14ac:dyDescent="0.25">
      <c r="B73" s="273" t="s">
        <v>567</v>
      </c>
      <c r="C73" s="273" t="s">
        <v>1</v>
      </c>
      <c r="D73" s="237" t="e">
        <f>'_Emissões Agrícolas'!$G$54</f>
        <v>#DIV/0!</v>
      </c>
      <c r="E73" s="237" t="e">
        <f>D73*$E$15</f>
        <v>#DIV/0!</v>
      </c>
      <c r="F73" s="238" t="e">
        <f>E73*1000*'Dados auxiliares'!$D$9</f>
        <v>#DIV/0!</v>
      </c>
      <c r="G73" s="590"/>
      <c r="H73" s="550" t="e">
        <f t="shared" ref="H73:H83" si="8">(F73/$E$92)*$F$92</f>
        <v>#DIV/0!</v>
      </c>
      <c r="I73" s="550" t="e">
        <f t="shared" ref="I73:I83" si="9">(F73/$E$93)*$F$93</f>
        <v>#DIV/0!</v>
      </c>
    </row>
    <row r="74" spans="2:9" ht="18" x14ac:dyDescent="0.25">
      <c r="B74" s="273" t="s">
        <v>568</v>
      </c>
      <c r="C74" s="273" t="s">
        <v>1</v>
      </c>
      <c r="D74" s="237" t="e">
        <f>'_Emissões Agrícolas'!$G$58</f>
        <v>#DIV/0!</v>
      </c>
      <c r="E74" s="237" t="e">
        <f t="shared" ref="E74:E75" si="10">D74*$E$15</f>
        <v>#DIV/0!</v>
      </c>
      <c r="F74" s="238" t="e">
        <f>E74*1000*'Dados auxiliares'!$D$9</f>
        <v>#DIV/0!</v>
      </c>
      <c r="G74" s="590"/>
      <c r="H74" s="550" t="e">
        <f t="shared" si="8"/>
        <v>#DIV/0!</v>
      </c>
      <c r="I74" s="550" t="e">
        <f t="shared" si="9"/>
        <v>#DIV/0!</v>
      </c>
    </row>
    <row r="75" spans="2:9" ht="18" x14ac:dyDescent="0.25">
      <c r="B75" s="273" t="s">
        <v>569</v>
      </c>
      <c r="C75" s="273" t="s">
        <v>1</v>
      </c>
      <c r="D75" s="237" t="e">
        <f>'_Emissões Agrícolas'!$G$62</f>
        <v>#DIV/0!</v>
      </c>
      <c r="E75" s="237" t="e">
        <f t="shared" si="10"/>
        <v>#DIV/0!</v>
      </c>
      <c r="F75" s="238" t="e">
        <f>E75*1000*'Dados auxiliares'!$D$9</f>
        <v>#DIV/0!</v>
      </c>
      <c r="G75" s="590"/>
      <c r="H75" s="550" t="e">
        <f t="shared" si="8"/>
        <v>#DIV/0!</v>
      </c>
      <c r="I75" s="550" t="e">
        <f t="shared" si="9"/>
        <v>#DIV/0!</v>
      </c>
    </row>
    <row r="76" spans="2:9" ht="18" x14ac:dyDescent="0.25">
      <c r="B76" s="273" t="s">
        <v>438</v>
      </c>
      <c r="C76" s="273" t="s">
        <v>1</v>
      </c>
      <c r="D76" s="237"/>
      <c r="E76" s="237">
        <f>$E$20*'_Emissões Agrícolas'!$E$79+$E$21*'_Emissões Agrícolas'!$E$80</f>
        <v>0</v>
      </c>
      <c r="F76" s="238">
        <f>E76*1000</f>
        <v>0</v>
      </c>
      <c r="G76" s="590"/>
      <c r="H76" s="550" t="e">
        <f t="shared" si="8"/>
        <v>#DIV/0!</v>
      </c>
      <c r="I76" s="550" t="e">
        <f t="shared" si="9"/>
        <v>#DIV/0!</v>
      </c>
    </row>
    <row r="77" spans="2:9" ht="18" x14ac:dyDescent="0.25">
      <c r="B77" s="273" t="s">
        <v>439</v>
      </c>
      <c r="C77" s="273" t="s">
        <v>1</v>
      </c>
      <c r="D77" s="237"/>
      <c r="E77" s="237">
        <f>$E$23*'_Emissões Agrícolas'!$E$81</f>
        <v>0</v>
      </c>
      <c r="F77" s="238">
        <f>E77*1000</f>
        <v>0</v>
      </c>
      <c r="G77" s="590"/>
      <c r="H77" s="550" t="e">
        <f t="shared" si="8"/>
        <v>#DIV/0!</v>
      </c>
      <c r="I77" s="550" t="e">
        <f t="shared" si="9"/>
        <v>#DIV/0!</v>
      </c>
    </row>
    <row r="78" spans="2:9" x14ac:dyDescent="0.25">
      <c r="B78" s="273" t="s">
        <v>437</v>
      </c>
      <c r="C78" s="273" t="s">
        <v>1</v>
      </c>
      <c r="D78" s="237"/>
      <c r="E78" s="237">
        <f>$E$61*'FE''s queima combustíveis'!$I$64/1000</f>
        <v>0</v>
      </c>
      <c r="F78" s="238">
        <f>E78*1000</f>
        <v>0</v>
      </c>
      <c r="G78" s="590"/>
      <c r="H78" s="550" t="e">
        <f t="shared" si="8"/>
        <v>#DIV/0!</v>
      </c>
      <c r="I78" s="550" t="e">
        <f t="shared" si="9"/>
        <v>#DIV/0!</v>
      </c>
    </row>
    <row r="79" spans="2:9" x14ac:dyDescent="0.25">
      <c r="B79" s="273" t="s">
        <v>443</v>
      </c>
      <c r="C79" s="273" t="s">
        <v>1</v>
      </c>
      <c r="D79" s="237"/>
      <c r="E79" s="237">
        <f>$E$62*'FE''s queima combustíveis'!$I$65/1000</f>
        <v>0</v>
      </c>
      <c r="F79" s="238">
        <f t="shared" ref="F79:F83" si="11">E79*1000</f>
        <v>0</v>
      </c>
      <c r="G79" s="590"/>
      <c r="H79" s="550" t="e">
        <f t="shared" si="8"/>
        <v>#DIV/0!</v>
      </c>
      <c r="I79" s="550" t="e">
        <f t="shared" si="9"/>
        <v>#DIV/0!</v>
      </c>
    </row>
    <row r="80" spans="2:9" x14ac:dyDescent="0.25">
      <c r="B80" s="273" t="s">
        <v>492</v>
      </c>
      <c r="C80" s="273" t="s">
        <v>1</v>
      </c>
      <c r="D80" s="237"/>
      <c r="E80" s="237">
        <f>$E$63*'FE''s queima combustíveis'!$I$9/1000</f>
        <v>0</v>
      </c>
      <c r="F80" s="238">
        <f t="shared" si="11"/>
        <v>0</v>
      </c>
      <c r="G80" s="590"/>
      <c r="H80" s="550" t="e">
        <f t="shared" si="8"/>
        <v>#DIV/0!</v>
      </c>
      <c r="I80" s="550" t="e">
        <f t="shared" si="9"/>
        <v>#DIV/0!</v>
      </c>
    </row>
    <row r="81" spans="2:20" x14ac:dyDescent="0.25">
      <c r="B81" s="273" t="s">
        <v>493</v>
      </c>
      <c r="C81" s="273" t="s">
        <v>1</v>
      </c>
      <c r="D81" s="237"/>
      <c r="E81" s="237">
        <f>$E$64*'FE''s queima combustíveis'!$I$7/1000</f>
        <v>0</v>
      </c>
      <c r="F81" s="238">
        <f t="shared" si="11"/>
        <v>0</v>
      </c>
      <c r="G81" s="590"/>
      <c r="H81" s="550" t="e">
        <f t="shared" si="8"/>
        <v>#DIV/0!</v>
      </c>
      <c r="I81" s="550" t="e">
        <f t="shared" si="9"/>
        <v>#DIV/0!</v>
      </c>
    </row>
    <row r="82" spans="2:20" x14ac:dyDescent="0.25">
      <c r="B82" s="273" t="s">
        <v>494</v>
      </c>
      <c r="C82" s="273" t="s">
        <v>1</v>
      </c>
      <c r="D82" s="237"/>
      <c r="E82" s="237">
        <f>$E$65*'FE''s queima combustíveis'!$I$8/1000</f>
        <v>0</v>
      </c>
      <c r="F82" s="238">
        <f t="shared" si="11"/>
        <v>0</v>
      </c>
      <c r="G82" s="590"/>
      <c r="H82" s="550" t="e">
        <f t="shared" si="8"/>
        <v>#DIV/0!</v>
      </c>
      <c r="I82" s="550" t="e">
        <f t="shared" si="9"/>
        <v>#DIV/0!</v>
      </c>
    </row>
    <row r="83" spans="2:20" x14ac:dyDescent="0.25">
      <c r="B83" s="273" t="s">
        <v>444</v>
      </c>
      <c r="C83" s="273" t="s">
        <v>1</v>
      </c>
      <c r="D83" s="237"/>
      <c r="E83" s="237">
        <f>($E$66+E1GM!D75)*'FE''s queima combustíveis'!$I$66/1000</f>
        <v>0</v>
      </c>
      <c r="F83" s="238">
        <f t="shared" si="11"/>
        <v>0</v>
      </c>
      <c r="G83" s="590"/>
      <c r="H83" s="550" t="e">
        <f t="shared" si="8"/>
        <v>#DIV/0!</v>
      </c>
      <c r="I83" s="550" t="e">
        <f t="shared" si="9"/>
        <v>#DIV/0!</v>
      </c>
    </row>
    <row r="84" spans="2:20" ht="6" customHeight="1" x14ac:dyDescent="0.25">
      <c r="B84" s="69"/>
      <c r="D84" s="7"/>
      <c r="E84" s="48"/>
      <c r="F84" s="49"/>
      <c r="G84" s="49"/>
      <c r="H84" s="10"/>
    </row>
    <row r="85" spans="2:20" ht="18" x14ac:dyDescent="0.25">
      <c r="B85" s="276" t="s">
        <v>54</v>
      </c>
      <c r="C85" s="274" t="s">
        <v>614</v>
      </c>
      <c r="D85" s="274"/>
      <c r="E85" s="275"/>
      <c r="F85" s="290" t="e">
        <f>SUM(F73:F83)</f>
        <v>#DIV/0!</v>
      </c>
      <c r="G85" s="597"/>
      <c r="H85" s="290" t="e">
        <f t="shared" ref="H85:H87" si="12">(F85/$E$92)*$F$92</f>
        <v>#DIV/0!</v>
      </c>
      <c r="I85" s="290" t="e">
        <f t="shared" ref="I85:I87" si="13">(F85/$E$93)*$F$93</f>
        <v>#DIV/0!</v>
      </c>
    </row>
    <row r="86" spans="2:20" ht="18" x14ac:dyDescent="0.25">
      <c r="B86" s="276" t="s">
        <v>61</v>
      </c>
      <c r="C86" s="274" t="s">
        <v>614</v>
      </c>
      <c r="D86" s="274"/>
      <c r="E86" s="275"/>
      <c r="F86" s="290" t="e">
        <f>SUM(F17:F41,F60:F71)</f>
        <v>#DIV/0!</v>
      </c>
      <c r="G86" s="597"/>
      <c r="H86" s="290" t="e">
        <f t="shared" si="12"/>
        <v>#DIV/0!</v>
      </c>
      <c r="I86" s="290" t="e">
        <f t="shared" si="13"/>
        <v>#DIV/0!</v>
      </c>
    </row>
    <row r="87" spans="2:20" ht="18" x14ac:dyDescent="0.25">
      <c r="B87" s="276" t="s">
        <v>55</v>
      </c>
      <c r="C87" s="274" t="s">
        <v>614</v>
      </c>
      <c r="D87" s="274"/>
      <c r="E87" s="275"/>
      <c r="F87" s="290" t="e">
        <f>F85+F86</f>
        <v>#DIV/0!</v>
      </c>
      <c r="G87" s="597"/>
      <c r="H87" s="290" t="e">
        <f t="shared" si="12"/>
        <v>#DIV/0!</v>
      </c>
      <c r="I87" s="290" t="e">
        <f t="shared" si="13"/>
        <v>#DIV/0!</v>
      </c>
    </row>
    <row r="88" spans="2:20" x14ac:dyDescent="0.25">
      <c r="B88" s="227"/>
      <c r="D88" s="7"/>
      <c r="E88" s="48"/>
      <c r="F88" s="49"/>
      <c r="G88" s="49"/>
      <c r="H88" s="10"/>
    </row>
    <row r="89" spans="2:20" x14ac:dyDescent="0.25">
      <c r="B89" s="227"/>
      <c r="D89" s="7"/>
      <c r="E89" s="48"/>
      <c r="F89" s="49"/>
      <c r="G89" s="49"/>
      <c r="H89" s="10"/>
    </row>
    <row r="90" spans="2:20" s="19" customFormat="1" ht="18.75" x14ac:dyDescent="0.3">
      <c r="B90" s="737" t="s">
        <v>615</v>
      </c>
      <c r="C90" s="737"/>
      <c r="D90" s="737"/>
      <c r="E90" s="737"/>
      <c r="F90" s="737"/>
      <c r="G90" s="453"/>
      <c r="H90" s="740" t="s">
        <v>936</v>
      </c>
      <c r="I90" s="740" t="s">
        <v>937</v>
      </c>
      <c r="K90" s="363"/>
      <c r="L90" s="363"/>
      <c r="M90" s="363"/>
      <c r="N90" s="363"/>
      <c r="O90" s="363"/>
      <c r="P90" s="363"/>
      <c r="Q90" s="363"/>
    </row>
    <row r="91" spans="2:20" ht="18" x14ac:dyDescent="0.25">
      <c r="B91" s="279" t="s">
        <v>495</v>
      </c>
      <c r="C91" s="306" t="s">
        <v>0</v>
      </c>
      <c r="D91" s="306" t="s">
        <v>610</v>
      </c>
      <c r="E91" s="306" t="s">
        <v>29</v>
      </c>
      <c r="F91" s="306" t="s">
        <v>330</v>
      </c>
      <c r="G91" s="583"/>
      <c r="H91" s="740"/>
      <c r="I91" s="740"/>
      <c r="J91" s="364"/>
      <c r="K91" s="365"/>
      <c r="L91" s="365"/>
      <c r="M91" s="365"/>
      <c r="N91" s="365"/>
      <c r="O91" s="365"/>
      <c r="P91" s="365"/>
      <c r="Q91" s="365"/>
      <c r="S91" s="366"/>
      <c r="T91" s="367"/>
    </row>
    <row r="92" spans="2:20" x14ac:dyDescent="0.25">
      <c r="B92" s="273" t="s">
        <v>125</v>
      </c>
      <c r="C92" s="273" t="s">
        <v>1</v>
      </c>
      <c r="D92" s="294">
        <f>E1GM!D87*'Dados auxiliares'!$D$15</f>
        <v>0</v>
      </c>
      <c r="E92" s="294">
        <f>D92*'Dados auxiliares'!$F$15</f>
        <v>0</v>
      </c>
      <c r="F92" s="258" t="e">
        <f>E92/SUM($E$92:$E$99)</f>
        <v>#DIV/0!</v>
      </c>
      <c r="G92" s="585"/>
      <c r="H92" s="740"/>
      <c r="I92" s="740"/>
      <c r="J92" s="364"/>
      <c r="K92" s="368"/>
      <c r="L92" s="365"/>
      <c r="M92" s="365"/>
      <c r="N92" s="365"/>
      <c r="O92" s="365"/>
      <c r="P92" s="369"/>
      <c r="Q92" s="370"/>
      <c r="R92" s="371"/>
    </row>
    <row r="93" spans="2:20" x14ac:dyDescent="0.25">
      <c r="B93" s="273" t="s">
        <v>126</v>
      </c>
      <c r="C93" s="273" t="s">
        <v>1</v>
      </c>
      <c r="D93" s="294">
        <f>E1GM!D88*'Dados auxiliares'!$D$16</f>
        <v>0</v>
      </c>
      <c r="E93" s="294">
        <f>D93*'Dados auxiliares'!$F$16</f>
        <v>0</v>
      </c>
      <c r="F93" s="258" t="e">
        <f t="shared" ref="F93:F99" si="14">E93/SUM($E$92:$E$99)</f>
        <v>#DIV/0!</v>
      </c>
      <c r="G93" s="585"/>
      <c r="H93" s="740"/>
      <c r="I93" s="740"/>
      <c r="J93" s="372"/>
      <c r="K93" s="372"/>
      <c r="P93" s="373"/>
      <c r="Q93" s="366"/>
      <c r="R93" s="366"/>
    </row>
    <row r="94" spans="2:20" x14ac:dyDescent="0.25">
      <c r="B94" s="273" t="s">
        <v>48</v>
      </c>
      <c r="C94" s="273" t="s">
        <v>57</v>
      </c>
      <c r="D94" s="294">
        <f>E1GM!D89</f>
        <v>0</v>
      </c>
      <c r="E94" s="294">
        <f>CONVERT(D94,"kWh","MJ")</f>
        <v>0</v>
      </c>
      <c r="F94" s="258" t="e">
        <f t="shared" si="14"/>
        <v>#DIV/0!</v>
      </c>
      <c r="G94" s="585"/>
      <c r="H94" s="740"/>
      <c r="I94" s="740"/>
      <c r="J94" s="372"/>
      <c r="K94" s="372"/>
    </row>
    <row r="95" spans="2:20" x14ac:dyDescent="0.25">
      <c r="B95" s="273" t="s">
        <v>64</v>
      </c>
      <c r="C95" s="273" t="s">
        <v>1</v>
      </c>
      <c r="D95" s="294">
        <f>E1GM!D91*(1-E1GM!G91)</f>
        <v>0</v>
      </c>
      <c r="E95" s="294">
        <f>D95*'Dados auxiliares'!D38</f>
        <v>0</v>
      </c>
      <c r="F95" s="258" t="e">
        <f t="shared" si="14"/>
        <v>#DIV/0!</v>
      </c>
      <c r="G95" s="585"/>
      <c r="H95" s="740"/>
      <c r="I95" s="740"/>
      <c r="J95" s="372"/>
      <c r="K95" s="372"/>
      <c r="S95" s="366"/>
    </row>
    <row r="96" spans="2:20" x14ac:dyDescent="0.25">
      <c r="B96" s="273" t="s">
        <v>304</v>
      </c>
      <c r="C96" s="273" t="s">
        <v>1</v>
      </c>
      <c r="D96" s="294">
        <f>E1GM!D90*(1-E1GM!G90)</f>
        <v>0</v>
      </c>
      <c r="E96" s="294">
        <f>D96*'Dados auxiliares'!D37</f>
        <v>0</v>
      </c>
      <c r="F96" s="258" t="e">
        <f t="shared" si="14"/>
        <v>#DIV/0!</v>
      </c>
      <c r="G96" s="585"/>
      <c r="H96" s="740"/>
      <c r="I96" s="740"/>
      <c r="J96" s="372"/>
      <c r="K96" s="372"/>
      <c r="S96" s="366"/>
    </row>
    <row r="97" spans="2:20" x14ac:dyDescent="0.25">
      <c r="B97" s="273" t="s">
        <v>65</v>
      </c>
      <c r="C97" s="273" t="s">
        <v>1</v>
      </c>
      <c r="D97" s="294">
        <f>E1GM!D92*(1-E1GM!G92)</f>
        <v>0</v>
      </c>
      <c r="E97" s="294">
        <f>D97*'Dados auxiliares'!D39</f>
        <v>0</v>
      </c>
      <c r="F97" s="258" t="e">
        <f t="shared" si="14"/>
        <v>#DIV/0!</v>
      </c>
      <c r="G97" s="585"/>
      <c r="H97" s="740"/>
      <c r="I97" s="740"/>
      <c r="J97" s="372"/>
      <c r="K97" s="372"/>
      <c r="S97" s="366"/>
    </row>
    <row r="98" spans="2:20" x14ac:dyDescent="0.25">
      <c r="B98" s="273" t="s">
        <v>66</v>
      </c>
      <c r="C98" s="273" t="s">
        <v>1</v>
      </c>
      <c r="D98" s="294">
        <f>E1GM!D93*(1-E1GM!G93)</f>
        <v>0</v>
      </c>
      <c r="E98" s="294">
        <f>D98*'Dados auxiliares'!D40</f>
        <v>0</v>
      </c>
      <c r="F98" s="258" t="e">
        <f t="shared" si="14"/>
        <v>#DIV/0!</v>
      </c>
      <c r="G98" s="585"/>
      <c r="H98" s="740"/>
      <c r="I98" s="740"/>
      <c r="J98" s="372"/>
      <c r="K98" s="372"/>
      <c r="S98" s="366"/>
    </row>
    <row r="99" spans="2:20" x14ac:dyDescent="0.25">
      <c r="B99" s="273" t="s">
        <v>319</v>
      </c>
      <c r="C99" s="273" t="s">
        <v>1</v>
      </c>
      <c r="D99" s="294">
        <f>E1GM!D94</f>
        <v>0</v>
      </c>
      <c r="E99" s="294">
        <f>D99*'Dados auxiliares'!D41</f>
        <v>0</v>
      </c>
      <c r="F99" s="258" t="e">
        <f t="shared" si="14"/>
        <v>#DIV/0!</v>
      </c>
      <c r="G99" s="585"/>
      <c r="H99" s="740"/>
      <c r="I99" s="740"/>
      <c r="J99" s="372"/>
      <c r="K99" s="372"/>
      <c r="S99" s="366"/>
    </row>
    <row r="100" spans="2:20" ht="18" x14ac:dyDescent="0.25">
      <c r="B100" s="281" t="s">
        <v>58</v>
      </c>
      <c r="C100" s="306" t="s">
        <v>0</v>
      </c>
      <c r="D100" s="306" t="s">
        <v>610</v>
      </c>
      <c r="E100" s="282"/>
      <c r="F100" s="283" t="s">
        <v>613</v>
      </c>
      <c r="G100" s="272"/>
      <c r="H100" s="283" t="s">
        <v>535</v>
      </c>
      <c r="I100" s="283" t="s">
        <v>535</v>
      </c>
      <c r="J100" s="552"/>
      <c r="K100" s="552"/>
      <c r="S100" s="366"/>
      <c r="T100" s="367"/>
    </row>
    <row r="101" spans="2:20" x14ac:dyDescent="0.25">
      <c r="B101" s="284" t="s">
        <v>182</v>
      </c>
      <c r="C101" s="285"/>
      <c r="D101" s="285"/>
      <c r="E101" s="288"/>
      <c r="F101" s="289"/>
      <c r="G101" s="593"/>
      <c r="H101" s="287"/>
      <c r="I101" s="287"/>
      <c r="J101" s="11"/>
      <c r="K101" s="11"/>
      <c r="S101" s="366"/>
      <c r="T101" s="367"/>
    </row>
    <row r="102" spans="2:20" x14ac:dyDescent="0.25">
      <c r="B102" s="273" t="s">
        <v>579</v>
      </c>
      <c r="C102" s="273" t="s">
        <v>42</v>
      </c>
      <c r="D102" s="334">
        <f>(0.00004878*0.65)</f>
        <v>3.1707E-5</v>
      </c>
      <c r="E102" s="259"/>
      <c r="F102" s="278">
        <f>D102*'Dados auxiliares'!$H$81</f>
        <v>1.018120869909E-6</v>
      </c>
      <c r="G102" s="598"/>
      <c r="H102" s="550" t="e">
        <f t="shared" ref="H102:H103" si="15">(F102/$E$92)*$F$92</f>
        <v>#DIV/0!</v>
      </c>
      <c r="I102" s="550" t="e">
        <f t="shared" ref="I102:I103" si="16">(F102/$E$93)*$F$93</f>
        <v>#DIV/0!</v>
      </c>
      <c r="J102" s="11"/>
      <c r="K102" s="11"/>
      <c r="S102" s="366"/>
      <c r="T102" s="367"/>
    </row>
    <row r="103" spans="2:20" x14ac:dyDescent="0.25">
      <c r="B103" s="273" t="s">
        <v>156</v>
      </c>
      <c r="C103" s="273" t="s">
        <v>42</v>
      </c>
      <c r="D103" s="334">
        <f>(0.00004878*0.35)</f>
        <v>1.7072999999999997E-5</v>
      </c>
      <c r="E103" s="259"/>
      <c r="F103" s="278">
        <f>D103*'Dados auxiliares'!$H$80</f>
        <v>2.6994354200100001E-7</v>
      </c>
      <c r="G103" s="598"/>
      <c r="H103" s="550" t="e">
        <f t="shared" si="15"/>
        <v>#DIV/0!</v>
      </c>
      <c r="I103" s="550" t="e">
        <f t="shared" si="16"/>
        <v>#DIV/0!</v>
      </c>
      <c r="J103" s="11"/>
      <c r="K103" s="11"/>
      <c r="S103" s="366"/>
      <c r="T103" s="367"/>
    </row>
    <row r="104" spans="2:20" x14ac:dyDescent="0.25">
      <c r="B104" s="284" t="s">
        <v>455</v>
      </c>
      <c r="C104" s="285"/>
      <c r="D104" s="285"/>
      <c r="E104" s="288"/>
      <c r="F104" s="289"/>
      <c r="G104" s="593"/>
      <c r="H104" s="287"/>
      <c r="I104" s="287"/>
      <c r="J104" s="11"/>
      <c r="K104" s="11"/>
      <c r="S104" s="366"/>
      <c r="T104" s="367"/>
    </row>
    <row r="105" spans="2:20" x14ac:dyDescent="0.25">
      <c r="B105" s="273" t="s">
        <v>629</v>
      </c>
      <c r="C105" s="273" t="s">
        <v>138</v>
      </c>
      <c r="D105" s="308">
        <v>1</v>
      </c>
      <c r="E105" s="259"/>
      <c r="F105" s="294" t="e">
        <f>D105*F87</f>
        <v>#DIV/0!</v>
      </c>
      <c r="G105" s="595"/>
      <c r="H105" s="550" t="e">
        <f>(F105/$E$92)*$F$92</f>
        <v>#DIV/0!</v>
      </c>
      <c r="I105" s="550" t="e">
        <f t="shared" ref="I105:I112" si="17">(F105/$E$93)*$F$93</f>
        <v>#DIV/0!</v>
      </c>
      <c r="J105" s="374"/>
      <c r="K105" s="374"/>
      <c r="L105" s="375"/>
      <c r="M105" s="366"/>
      <c r="N105" s="366"/>
      <c r="O105" s="367"/>
      <c r="P105" s="366"/>
      <c r="Q105" s="366"/>
      <c r="R105" s="367"/>
    </row>
    <row r="106" spans="2:20" x14ac:dyDescent="0.25">
      <c r="B106" s="273" t="s">
        <v>630</v>
      </c>
      <c r="C106" s="273" t="s">
        <v>47</v>
      </c>
      <c r="D106" s="278">
        <f>D105*E1GM!D86</f>
        <v>0</v>
      </c>
      <c r="E106" s="259"/>
      <c r="F106" s="278">
        <f>D106*'Dados auxiliares'!$H$131</f>
        <v>0</v>
      </c>
      <c r="G106" s="598"/>
      <c r="H106" s="550" t="e">
        <f t="shared" ref="H106:H112" si="18">(F106/$E$92)*$F$92</f>
        <v>#DIV/0!</v>
      </c>
      <c r="I106" s="550" t="e">
        <f t="shared" si="17"/>
        <v>#DIV/0!</v>
      </c>
      <c r="J106" s="374"/>
      <c r="K106" s="374"/>
      <c r="L106" s="375"/>
      <c r="M106" s="366"/>
      <c r="N106" s="366"/>
      <c r="O106" s="367"/>
      <c r="P106" s="366"/>
      <c r="Q106" s="366"/>
      <c r="R106" s="367"/>
    </row>
    <row r="107" spans="2:20" x14ac:dyDescent="0.25">
      <c r="B107" s="273" t="s">
        <v>162</v>
      </c>
      <c r="C107" s="273" t="s">
        <v>1</v>
      </c>
      <c r="D107" s="277">
        <v>0.57199999999999995</v>
      </c>
      <c r="E107" s="259"/>
      <c r="F107" s="278">
        <f>D107*'Dados auxiliares'!$H$99</f>
        <v>749.31999999999994</v>
      </c>
      <c r="G107" s="598"/>
      <c r="H107" s="550" t="e">
        <f t="shared" si="18"/>
        <v>#DIV/0!</v>
      </c>
      <c r="I107" s="550" t="e">
        <f t="shared" si="17"/>
        <v>#DIV/0!</v>
      </c>
      <c r="J107" s="376"/>
      <c r="L107" s="367"/>
      <c r="M107" s="367"/>
      <c r="N107" s="367"/>
      <c r="O107" s="367"/>
      <c r="P107" s="367"/>
      <c r="Q107" s="367"/>
      <c r="R107" s="367"/>
    </row>
    <row r="108" spans="2:20" x14ac:dyDescent="0.25">
      <c r="B108" s="273" t="s">
        <v>22</v>
      </c>
      <c r="C108" s="273" t="s">
        <v>1</v>
      </c>
      <c r="D108" s="277">
        <v>0.90900000000000003</v>
      </c>
      <c r="E108" s="259"/>
      <c r="F108" s="278">
        <f>D108*'Dados auxiliares'!$H$88</f>
        <v>99.408112467459816</v>
      </c>
      <c r="G108" s="598"/>
      <c r="H108" s="550" t="e">
        <f t="shared" si="18"/>
        <v>#DIV/0!</v>
      </c>
      <c r="I108" s="550" t="e">
        <f t="shared" si="17"/>
        <v>#DIV/0!</v>
      </c>
    </row>
    <row r="109" spans="2:20" x14ac:dyDescent="0.25">
      <c r="B109" s="273" t="s">
        <v>85</v>
      </c>
      <c r="C109" s="273" t="s">
        <v>1</v>
      </c>
      <c r="D109" s="277">
        <v>0.33300000000000002</v>
      </c>
      <c r="E109" s="259"/>
      <c r="F109" s="278">
        <f>D109*'Dados auxiliares'!$H$97</f>
        <v>170.64857799993447</v>
      </c>
      <c r="G109" s="598"/>
      <c r="H109" s="550" t="e">
        <f t="shared" si="18"/>
        <v>#DIV/0!</v>
      </c>
      <c r="I109" s="550" t="e">
        <f t="shared" si="17"/>
        <v>#DIV/0!</v>
      </c>
      <c r="L109" s="377"/>
      <c r="M109" s="377"/>
    </row>
    <row r="110" spans="2:20" x14ac:dyDescent="0.25">
      <c r="B110" s="273" t="s">
        <v>176</v>
      </c>
      <c r="C110" s="273" t="s">
        <v>1</v>
      </c>
      <c r="D110" s="277">
        <v>0.72499999999999998</v>
      </c>
      <c r="E110" s="259"/>
      <c r="F110" s="278">
        <f>D110*'Dados auxiliares'!$H$95</f>
        <v>2218.0197988132104</v>
      </c>
      <c r="G110" s="598"/>
      <c r="H110" s="550" t="e">
        <f t="shared" si="18"/>
        <v>#DIV/0!</v>
      </c>
      <c r="I110" s="550" t="e">
        <f t="shared" si="17"/>
        <v>#DIV/0!</v>
      </c>
      <c r="L110" s="377"/>
      <c r="M110" s="377"/>
    </row>
    <row r="111" spans="2:20" x14ac:dyDescent="0.25">
      <c r="B111" s="273" t="s">
        <v>291</v>
      </c>
      <c r="C111" s="273" t="s">
        <v>1</v>
      </c>
      <c r="D111" s="277">
        <v>1E-3</v>
      </c>
      <c r="E111" s="259"/>
      <c r="F111" s="278">
        <f>D111*'Dados auxiliares'!$H$98</f>
        <v>1.04970694358414</v>
      </c>
      <c r="G111" s="598"/>
      <c r="H111" s="550" t="e">
        <f t="shared" si="18"/>
        <v>#DIV/0!</v>
      </c>
      <c r="I111" s="550" t="e">
        <f t="shared" si="17"/>
        <v>#DIV/0!</v>
      </c>
      <c r="L111" s="377"/>
      <c r="M111" s="377"/>
    </row>
    <row r="112" spans="2:20" x14ac:dyDescent="0.25">
      <c r="B112" s="273" t="s">
        <v>27</v>
      </c>
      <c r="C112" s="273" t="s">
        <v>1</v>
      </c>
      <c r="D112" s="277">
        <v>6.2E-2</v>
      </c>
      <c r="E112" s="259"/>
      <c r="F112" s="278">
        <f>D112*'Dados auxiliares'!$H$94</f>
        <v>310.64041816017919</v>
      </c>
      <c r="G112" s="598"/>
      <c r="H112" s="550" t="e">
        <f t="shared" si="18"/>
        <v>#DIV/0!</v>
      </c>
      <c r="I112" s="550" t="e">
        <f t="shared" si="17"/>
        <v>#DIV/0!</v>
      </c>
    </row>
    <row r="113" spans="2:18" x14ac:dyDescent="0.25">
      <c r="B113" s="284" t="s">
        <v>243</v>
      </c>
      <c r="C113" s="285"/>
      <c r="D113" s="285"/>
      <c r="E113" s="288"/>
      <c r="F113" s="289"/>
      <c r="G113" s="593"/>
      <c r="H113" s="287"/>
      <c r="I113" s="287"/>
      <c r="L113" s="377"/>
      <c r="M113" s="377"/>
    </row>
    <row r="114" spans="2:18" x14ac:dyDescent="0.25">
      <c r="B114" s="273" t="s">
        <v>376</v>
      </c>
      <c r="C114" s="273" t="s">
        <v>57</v>
      </c>
      <c r="D114" s="237">
        <f>E1GM!D97</f>
        <v>0</v>
      </c>
      <c r="E114" s="237"/>
      <c r="F114" s="238">
        <f>D114*'Dados auxiliares'!$H$107</f>
        <v>0</v>
      </c>
      <c r="G114" s="590"/>
      <c r="H114" s="550" t="e">
        <f t="shared" ref="H114:H133" si="19">(F114/$E$92)*$F$92</f>
        <v>#DIV/0!</v>
      </c>
      <c r="I114" s="550" t="e">
        <f t="shared" ref="I114:I133" si="20">(F114/$E$93)*$F$93</f>
        <v>#DIV/0!</v>
      </c>
      <c r="J114" s="378"/>
      <c r="K114" s="378"/>
      <c r="M114" s="367"/>
      <c r="N114" s="367"/>
      <c r="O114" s="367"/>
      <c r="P114" s="367"/>
      <c r="Q114" s="367"/>
      <c r="R114" s="367"/>
    </row>
    <row r="115" spans="2:18" x14ac:dyDescent="0.25">
      <c r="B115" s="273" t="s">
        <v>375</v>
      </c>
      <c r="C115" s="273" t="s">
        <v>57</v>
      </c>
      <c r="D115" s="237">
        <f>E1GM!D98</f>
        <v>0</v>
      </c>
      <c r="E115" s="237"/>
      <c r="F115" s="238">
        <f>D115*'Dados auxiliares'!$H$108</f>
        <v>0</v>
      </c>
      <c r="G115" s="590"/>
      <c r="H115" s="550" t="e">
        <f t="shared" si="19"/>
        <v>#DIV/0!</v>
      </c>
      <c r="I115" s="550" t="e">
        <f t="shared" si="20"/>
        <v>#DIV/0!</v>
      </c>
      <c r="J115" s="378"/>
      <c r="K115" s="378"/>
      <c r="M115" s="367"/>
      <c r="N115" s="367"/>
      <c r="O115" s="367"/>
      <c r="P115" s="367"/>
      <c r="Q115" s="367"/>
      <c r="R115" s="367"/>
    </row>
    <row r="116" spans="2:18" x14ac:dyDescent="0.25">
      <c r="B116" s="273" t="s">
        <v>372</v>
      </c>
      <c r="C116" s="273" t="s">
        <v>57</v>
      </c>
      <c r="D116" s="237">
        <f>E1GM!D99</f>
        <v>0</v>
      </c>
      <c r="E116" s="237"/>
      <c r="F116" s="238">
        <f>D116*'Dados auxiliares'!$H$109</f>
        <v>0</v>
      </c>
      <c r="G116" s="590"/>
      <c r="H116" s="550" t="e">
        <f t="shared" si="19"/>
        <v>#DIV/0!</v>
      </c>
      <c r="I116" s="550" t="e">
        <f t="shared" si="20"/>
        <v>#DIV/0!</v>
      </c>
      <c r="J116" s="378"/>
      <c r="K116" s="378"/>
      <c r="M116" s="367"/>
      <c r="N116" s="367"/>
      <c r="O116" s="367"/>
      <c r="P116" s="367"/>
      <c r="Q116" s="367"/>
      <c r="R116" s="367"/>
    </row>
    <row r="117" spans="2:18" x14ac:dyDescent="0.25">
      <c r="B117" s="273" t="s">
        <v>373</v>
      </c>
      <c r="C117" s="273" t="s">
        <v>57</v>
      </c>
      <c r="D117" s="237">
        <f>E1GM!D100</f>
        <v>0</v>
      </c>
      <c r="E117" s="237"/>
      <c r="F117" s="238">
        <f>D117*'Dados auxiliares'!$H$110</f>
        <v>0</v>
      </c>
      <c r="G117" s="590"/>
      <c r="H117" s="550" t="e">
        <f t="shared" si="19"/>
        <v>#DIV/0!</v>
      </c>
      <c r="I117" s="550" t="e">
        <f t="shared" si="20"/>
        <v>#DIV/0!</v>
      </c>
      <c r="J117" s="378"/>
      <c r="K117" s="378"/>
      <c r="M117" s="367"/>
      <c r="N117" s="367"/>
      <c r="O117" s="367"/>
      <c r="P117" s="367"/>
      <c r="Q117" s="367"/>
      <c r="R117" s="367"/>
    </row>
    <row r="118" spans="2:18" x14ac:dyDescent="0.25">
      <c r="B118" s="273" t="s">
        <v>374</v>
      </c>
      <c r="C118" s="273" t="s">
        <v>57</v>
      </c>
      <c r="D118" s="237">
        <f>E1GM!D101</f>
        <v>0</v>
      </c>
      <c r="E118" s="237"/>
      <c r="F118" s="238">
        <f>D118*'Dados auxiliares'!$H$111</f>
        <v>0</v>
      </c>
      <c r="G118" s="590"/>
      <c r="H118" s="550" t="e">
        <f t="shared" si="19"/>
        <v>#DIV/0!</v>
      </c>
      <c r="I118" s="550" t="e">
        <f t="shared" si="20"/>
        <v>#DIV/0!</v>
      </c>
      <c r="J118" s="378"/>
      <c r="K118" s="378"/>
      <c r="M118" s="367"/>
      <c r="N118" s="367"/>
      <c r="O118" s="367"/>
      <c r="P118" s="367"/>
      <c r="Q118" s="367"/>
      <c r="R118" s="367"/>
    </row>
    <row r="119" spans="2:18" x14ac:dyDescent="0.25">
      <c r="B119" s="273" t="s">
        <v>309</v>
      </c>
      <c r="C119" s="273" t="s">
        <v>1</v>
      </c>
      <c r="D119" s="237">
        <f>(E1GM!$D$102*(1-0.08)+E1GM!$D$103*(1-0.1)+E1GM!$D$104*(1-E1GM!$G$104)+E1GM!$D$105*(1-0.2)+E1GM!$D$106*(1-0.3)+E1GM!$D$107*(1-1))*('Dados auxiliares'!$D$26)</f>
        <v>0</v>
      </c>
      <c r="E119" s="237"/>
      <c r="F119" s="238">
        <f>D119*'Dados auxiliares'!$H$116</f>
        <v>0</v>
      </c>
      <c r="G119" s="590"/>
      <c r="H119" s="550" t="e">
        <f t="shared" si="19"/>
        <v>#DIV/0!</v>
      </c>
      <c r="I119" s="550" t="e">
        <f t="shared" si="20"/>
        <v>#DIV/0!</v>
      </c>
      <c r="J119" s="378"/>
      <c r="K119" s="378"/>
      <c r="M119" s="367"/>
      <c r="N119" s="367"/>
      <c r="O119" s="367"/>
      <c r="P119" s="367"/>
      <c r="Q119" s="367"/>
      <c r="R119" s="367"/>
    </row>
    <row r="120" spans="2:18" x14ac:dyDescent="0.25">
      <c r="B120" s="273" t="s">
        <v>187</v>
      </c>
      <c r="C120" s="273" t="s">
        <v>1</v>
      </c>
      <c r="D120" s="237">
        <f>(E1GM!$D$102*(0.08)+E1GM!$D$103*(0.1)+E1GM!$D$104*(E1GM!$G$104)+E1GM!$D$105*(0.2)+E1GM!$D$106*(0.3)+E1GM!$D$107*(1))*('Dados auxiliares'!$D$17)</f>
        <v>0</v>
      </c>
      <c r="E120" s="237"/>
      <c r="F120" s="238">
        <f>D120*'Dados auxiliares'!$H$117</f>
        <v>0</v>
      </c>
      <c r="G120" s="590"/>
      <c r="H120" s="550" t="e">
        <f t="shared" si="19"/>
        <v>#DIV/0!</v>
      </c>
      <c r="I120" s="550" t="e">
        <f t="shared" si="20"/>
        <v>#DIV/0!</v>
      </c>
    </row>
    <row r="121" spans="2:18" x14ac:dyDescent="0.25">
      <c r="B121" s="273" t="s">
        <v>851</v>
      </c>
      <c r="C121" s="273" t="s">
        <v>1</v>
      </c>
      <c r="D121" s="237">
        <f>E1GM!D108*'Dados auxiliares'!$D$30</f>
        <v>0</v>
      </c>
      <c r="E121" s="237"/>
      <c r="F121" s="238">
        <f>D121*'Dados auxiliares'!$H$126</f>
        <v>0</v>
      </c>
      <c r="G121" s="590"/>
      <c r="H121" s="550" t="e">
        <f t="shared" si="19"/>
        <v>#DIV/0!</v>
      </c>
      <c r="I121" s="550" t="e">
        <f t="shared" si="20"/>
        <v>#DIV/0!</v>
      </c>
    </row>
    <row r="122" spans="2:18" x14ac:dyDescent="0.25">
      <c r="B122" s="273" t="s">
        <v>923</v>
      </c>
      <c r="C122" s="273" t="s">
        <v>169</v>
      </c>
      <c r="D122" s="237">
        <f>E1GM!D111</f>
        <v>0</v>
      </c>
      <c r="E122" s="237"/>
      <c r="F122" s="238">
        <f>D122*E1GM!G111*'Dados auxiliares'!$H$125</f>
        <v>0</v>
      </c>
      <c r="G122" s="590"/>
      <c r="H122" s="550" t="e">
        <f>(F122/$E$92)*$F$92</f>
        <v>#DIV/0!</v>
      </c>
      <c r="I122" s="550" t="e">
        <f t="shared" si="20"/>
        <v>#DIV/0!</v>
      </c>
    </row>
    <row r="123" spans="2:18" x14ac:dyDescent="0.25">
      <c r="B123" s="273" t="s">
        <v>572</v>
      </c>
      <c r="C123" s="273" t="s">
        <v>169</v>
      </c>
      <c r="D123" s="237">
        <f>E1GM!D113</f>
        <v>0</v>
      </c>
      <c r="E123" s="237"/>
      <c r="F123" s="238">
        <f>D123*'Dados auxiliares'!$H$115</f>
        <v>0</v>
      </c>
      <c r="G123" s="590"/>
      <c r="H123" s="550" t="e">
        <f t="shared" si="19"/>
        <v>#DIV/0!</v>
      </c>
      <c r="I123" s="550" t="e">
        <f t="shared" si="20"/>
        <v>#DIV/0!</v>
      </c>
    </row>
    <row r="124" spans="2:18" ht="18" x14ac:dyDescent="0.25">
      <c r="B124" s="273" t="s">
        <v>106</v>
      </c>
      <c r="C124" s="273" t="s">
        <v>506</v>
      </c>
      <c r="D124" s="278">
        <f>E1GM!$D$115*(1-E1GM!$D$116)</f>
        <v>0</v>
      </c>
      <c r="E124" s="259"/>
      <c r="F124" s="278">
        <f>D124*'Dados auxiliares'!$H$123</f>
        <v>0</v>
      </c>
      <c r="G124" s="598"/>
      <c r="H124" s="550" t="e">
        <f t="shared" si="19"/>
        <v>#DIV/0!</v>
      </c>
      <c r="I124" s="550" t="e">
        <f t="shared" si="20"/>
        <v>#DIV/0!</v>
      </c>
    </row>
    <row r="125" spans="2:18" x14ac:dyDescent="0.25">
      <c r="B125" s="273" t="s">
        <v>500</v>
      </c>
      <c r="C125" s="273" t="s">
        <v>47</v>
      </c>
      <c r="D125" s="278">
        <f>((D124/1000)*E1GM!$D$117)</f>
        <v>0</v>
      </c>
      <c r="E125" s="259"/>
      <c r="F125" s="278">
        <f>D125*'Dados auxiliares'!$H$131</f>
        <v>0</v>
      </c>
      <c r="G125" s="598"/>
      <c r="H125" s="550" t="e">
        <f t="shared" si="19"/>
        <v>#DIV/0!</v>
      </c>
      <c r="I125" s="550" t="e">
        <f t="shared" si="20"/>
        <v>#DIV/0!</v>
      </c>
    </row>
    <row r="126" spans="2:18" ht="18" x14ac:dyDescent="0.25">
      <c r="B126" s="273" t="s">
        <v>347</v>
      </c>
      <c r="C126" s="273" t="s">
        <v>506</v>
      </c>
      <c r="D126" s="278">
        <f>E1GM!$D$119*(1-E1GM!$D$120)</f>
        <v>0</v>
      </c>
      <c r="E126" s="259"/>
      <c r="F126" s="278">
        <f>D126*'Dados auxiliares'!$H$124</f>
        <v>0</v>
      </c>
      <c r="G126" s="598"/>
      <c r="H126" s="550" t="e">
        <f t="shared" si="19"/>
        <v>#DIV/0!</v>
      </c>
      <c r="I126" s="550" t="e">
        <f t="shared" si="20"/>
        <v>#DIV/0!</v>
      </c>
    </row>
    <row r="127" spans="2:18" x14ac:dyDescent="0.25">
      <c r="B127" s="273" t="s">
        <v>503</v>
      </c>
      <c r="C127" s="273" t="s">
        <v>47</v>
      </c>
      <c r="D127" s="278">
        <f>((D126/1000)*E1GM!$D$121)</f>
        <v>0</v>
      </c>
      <c r="E127" s="259"/>
      <c r="F127" s="278">
        <f>D127*'Dados auxiliares'!$H$131</f>
        <v>0</v>
      </c>
      <c r="G127" s="598"/>
      <c r="H127" s="550" t="e">
        <f t="shared" si="19"/>
        <v>#DIV/0!</v>
      </c>
      <c r="I127" s="550" t="e">
        <f t="shared" si="20"/>
        <v>#DIV/0!</v>
      </c>
    </row>
    <row r="128" spans="2:18" ht="18" x14ac:dyDescent="0.25">
      <c r="B128" s="273" t="s">
        <v>466</v>
      </c>
      <c r="C128" s="273" t="s">
        <v>506</v>
      </c>
      <c r="D128" s="278">
        <f>E1GM!$D$123*(1-E1GM!$D$124)</f>
        <v>0</v>
      </c>
      <c r="E128" s="259"/>
      <c r="F128" s="277">
        <v>0</v>
      </c>
      <c r="G128" s="544"/>
      <c r="H128" s="550" t="e">
        <f t="shared" si="19"/>
        <v>#DIV/0!</v>
      </c>
      <c r="I128" s="550" t="e">
        <f t="shared" si="20"/>
        <v>#DIV/0!</v>
      </c>
    </row>
    <row r="129" spans="2:9" x14ac:dyDescent="0.25">
      <c r="B129" s="273" t="s">
        <v>504</v>
      </c>
      <c r="C129" s="273" t="s">
        <v>47</v>
      </c>
      <c r="D129" s="278">
        <f>((D128/1000)*E1GM!$D$125)</f>
        <v>0</v>
      </c>
      <c r="E129" s="259"/>
      <c r="F129" s="278">
        <f>D129*'Dados auxiliares'!$H$131</f>
        <v>0</v>
      </c>
      <c r="G129" s="598"/>
      <c r="H129" s="550" t="e">
        <f t="shared" si="19"/>
        <v>#DIV/0!</v>
      </c>
      <c r="I129" s="550" t="e">
        <f t="shared" si="20"/>
        <v>#DIV/0!</v>
      </c>
    </row>
    <row r="130" spans="2:9" ht="18" x14ac:dyDescent="0.25">
      <c r="B130" s="273" t="s">
        <v>575</v>
      </c>
      <c r="C130" s="273" t="s">
        <v>506</v>
      </c>
      <c r="D130" s="278">
        <f>E1GM!$D$127*(1-E1GM!$D$128)</f>
        <v>0</v>
      </c>
      <c r="E130" s="259"/>
      <c r="F130" s="277">
        <v>0</v>
      </c>
      <c r="G130" s="544"/>
      <c r="H130" s="550" t="e">
        <f t="shared" si="19"/>
        <v>#DIV/0!</v>
      </c>
      <c r="I130" s="550" t="e">
        <f t="shared" si="20"/>
        <v>#DIV/0!</v>
      </c>
    </row>
    <row r="131" spans="2:9" x14ac:dyDescent="0.25">
      <c r="B131" s="273" t="s">
        <v>576</v>
      </c>
      <c r="C131" s="273" t="s">
        <v>47</v>
      </c>
      <c r="D131" s="278">
        <f>((D130/1000)*E1GM!$D$129)</f>
        <v>0</v>
      </c>
      <c r="E131" s="259"/>
      <c r="F131" s="278">
        <f>D131*'Dados auxiliares'!$H$131</f>
        <v>0</v>
      </c>
      <c r="G131" s="598"/>
      <c r="H131" s="550" t="e">
        <f t="shared" si="19"/>
        <v>#DIV/0!</v>
      </c>
      <c r="I131" s="550" t="e">
        <f t="shared" si="20"/>
        <v>#DIV/0!</v>
      </c>
    </row>
    <row r="132" spans="2:9" ht="18" x14ac:dyDescent="0.25">
      <c r="B132" s="273" t="s">
        <v>577</v>
      </c>
      <c r="C132" s="273" t="s">
        <v>506</v>
      </c>
      <c r="D132" s="278">
        <f>E1GM!$D$131*(1-E1GM!$D$132)</f>
        <v>0</v>
      </c>
      <c r="E132" s="259"/>
      <c r="F132" s="278">
        <f>D132*'Dados auxiliares'!$H$78</f>
        <v>0</v>
      </c>
      <c r="G132" s="598"/>
      <c r="H132" s="550" t="e">
        <f t="shared" si="19"/>
        <v>#DIV/0!</v>
      </c>
      <c r="I132" s="550" t="e">
        <f t="shared" si="20"/>
        <v>#DIV/0!</v>
      </c>
    </row>
    <row r="133" spans="2:9" x14ac:dyDescent="0.25">
      <c r="B133" s="273" t="s">
        <v>578</v>
      </c>
      <c r="C133" s="273" t="s">
        <v>47</v>
      </c>
      <c r="D133" s="278">
        <f>((D132/1000)*E1GM!$D$133)</f>
        <v>0</v>
      </c>
      <c r="E133" s="259"/>
      <c r="F133" s="278">
        <f>D133*'Dados auxiliares'!$H$131</f>
        <v>0</v>
      </c>
      <c r="G133" s="598"/>
      <c r="H133" s="550" t="e">
        <f t="shared" si="19"/>
        <v>#DIV/0!</v>
      </c>
      <c r="I133" s="550" t="e">
        <f t="shared" si="20"/>
        <v>#DIV/0!</v>
      </c>
    </row>
    <row r="134" spans="2:9" ht="18" x14ac:dyDescent="0.25">
      <c r="B134" s="338" t="s">
        <v>52</v>
      </c>
      <c r="C134" s="306" t="s">
        <v>0</v>
      </c>
      <c r="D134" s="306" t="s">
        <v>610</v>
      </c>
      <c r="E134" s="282"/>
      <c r="F134" s="283" t="s">
        <v>613</v>
      </c>
      <c r="G134" s="272"/>
      <c r="H134" s="283" t="s">
        <v>535</v>
      </c>
      <c r="I134" s="283" t="s">
        <v>535</v>
      </c>
    </row>
    <row r="135" spans="2:9" x14ac:dyDescent="0.25">
      <c r="B135" s="273" t="s">
        <v>437</v>
      </c>
      <c r="C135" s="273" t="s">
        <v>1</v>
      </c>
      <c r="D135" s="278">
        <f>D119*'FE''s queima combustíveis'!$I$50/1000</f>
        <v>0</v>
      </c>
      <c r="E135" s="259"/>
      <c r="F135" s="238">
        <f t="shared" ref="F135:F147" si="21">D135*1000</f>
        <v>0</v>
      </c>
      <c r="G135" s="590"/>
      <c r="H135" s="550" t="e">
        <f t="shared" ref="H135:H151" si="22">(F135/$E$92)*$F$92</f>
        <v>#DIV/0!</v>
      </c>
      <c r="I135" s="550" t="e">
        <f t="shared" ref="I135:I147" si="23">(F135/$E$93)*$F$93</f>
        <v>#DIV/0!</v>
      </c>
    </row>
    <row r="136" spans="2:9" x14ac:dyDescent="0.25">
      <c r="B136" s="273" t="s">
        <v>443</v>
      </c>
      <c r="C136" s="273" t="s">
        <v>1</v>
      </c>
      <c r="D136" s="278">
        <f>D120*'FE''s queima combustíveis'!$I$51/1000</f>
        <v>0</v>
      </c>
      <c r="E136" s="259"/>
      <c r="F136" s="238">
        <f t="shared" si="21"/>
        <v>0</v>
      </c>
      <c r="G136" s="590"/>
      <c r="H136" s="550" t="e">
        <f t="shared" si="22"/>
        <v>#DIV/0!</v>
      </c>
      <c r="I136" s="550" t="e">
        <f t="shared" si="23"/>
        <v>#DIV/0!</v>
      </c>
    </row>
    <row r="137" spans="2:9" x14ac:dyDescent="0.25">
      <c r="B137" s="273" t="s">
        <v>848</v>
      </c>
      <c r="C137" s="273" t="s">
        <v>1</v>
      </c>
      <c r="D137" s="278">
        <f>D121*'FE''s queima combustíveis'!$I$53/1000</f>
        <v>0</v>
      </c>
      <c r="E137" s="259"/>
      <c r="F137" s="238">
        <f>D137*1000</f>
        <v>0</v>
      </c>
      <c r="G137" s="590"/>
      <c r="H137" s="550" t="e">
        <f t="shared" si="22"/>
        <v>#DIV/0!</v>
      </c>
      <c r="I137" s="550" t="e">
        <f t="shared" si="23"/>
        <v>#DIV/0!</v>
      </c>
    </row>
    <row r="138" spans="2:9" x14ac:dyDescent="0.25">
      <c r="B138" s="273" t="s">
        <v>849</v>
      </c>
      <c r="C138" s="273" t="s">
        <v>1</v>
      </c>
      <c r="D138" s="278">
        <f>E1GM!D109*'Dados auxiliares'!$D$16*'FE''s queima combustíveis'!$I$57/1000</f>
        <v>0</v>
      </c>
      <c r="E138" s="259"/>
      <c r="F138" s="238">
        <f t="shared" si="21"/>
        <v>0</v>
      </c>
      <c r="G138" s="590"/>
      <c r="H138" s="550" t="e">
        <f t="shared" si="22"/>
        <v>#DIV/0!</v>
      </c>
      <c r="I138" s="550" t="e">
        <f t="shared" si="23"/>
        <v>#DIV/0!</v>
      </c>
    </row>
    <row r="139" spans="2:9" x14ac:dyDescent="0.25">
      <c r="B139" s="273" t="s">
        <v>850</v>
      </c>
      <c r="C139" s="273" t="s">
        <v>1</v>
      </c>
      <c r="D139" s="278">
        <f>E1GM!D110*'Dados auxiliares'!$D$15*'FE''s queima combustíveis'!$I$55/1000</f>
        <v>0</v>
      </c>
      <c r="E139" s="259"/>
      <c r="F139" s="238">
        <f t="shared" si="21"/>
        <v>0</v>
      </c>
      <c r="G139" s="590"/>
      <c r="H139" s="550" t="e">
        <f t="shared" si="22"/>
        <v>#DIV/0!</v>
      </c>
      <c r="I139" s="550" t="e">
        <f t="shared" si="23"/>
        <v>#DIV/0!</v>
      </c>
    </row>
    <row r="140" spans="2:9" x14ac:dyDescent="0.25">
      <c r="B140" s="273" t="s">
        <v>926</v>
      </c>
      <c r="C140" s="273" t="s">
        <v>1</v>
      </c>
      <c r="D140" s="278">
        <f>E1GM!D111*E1GM!G111*'FE''s queima combustíveis'!$I$41/1000</f>
        <v>0</v>
      </c>
      <c r="E140" s="259"/>
      <c r="F140" s="238">
        <f>D140*1000</f>
        <v>0</v>
      </c>
      <c r="G140" s="590"/>
      <c r="H140" s="550" t="e">
        <f>(F140/$E$92)*$F$92</f>
        <v>#DIV/0!</v>
      </c>
      <c r="I140" s="550" t="e">
        <f t="shared" si="23"/>
        <v>#DIV/0!</v>
      </c>
    </row>
    <row r="141" spans="2:9" x14ac:dyDescent="0.25">
      <c r="B141" s="273" t="s">
        <v>925</v>
      </c>
      <c r="C141" s="273" t="s">
        <v>1</v>
      </c>
      <c r="D141" s="278">
        <f>E1GM!D112*E1GM!G112*'FE''s queima combustíveis'!$I$41/1000</f>
        <v>0</v>
      </c>
      <c r="E141" s="259"/>
      <c r="F141" s="238">
        <f>D141*1000</f>
        <v>0</v>
      </c>
      <c r="G141" s="590"/>
      <c r="H141" s="550" t="e">
        <f>(F141/$E$92)*$F$92</f>
        <v>#DIV/0!</v>
      </c>
      <c r="I141" s="550" t="e">
        <f t="shared" si="23"/>
        <v>#DIV/0!</v>
      </c>
    </row>
    <row r="142" spans="2:9" x14ac:dyDescent="0.25">
      <c r="B142" s="273" t="s">
        <v>581</v>
      </c>
      <c r="C142" s="273" t="s">
        <v>1</v>
      </c>
      <c r="D142" s="278">
        <f>D123*'FE''s queima combustíveis'!$I$46*('Dados auxiliares'!$D$27*1000)/1000</f>
        <v>0</v>
      </c>
      <c r="E142" s="259"/>
      <c r="F142" s="238">
        <f t="shared" si="21"/>
        <v>0</v>
      </c>
      <c r="G142" s="590"/>
      <c r="H142" s="550" t="e">
        <f t="shared" si="22"/>
        <v>#DIV/0!</v>
      </c>
      <c r="I142" s="550" t="e">
        <f t="shared" si="23"/>
        <v>#DIV/0!</v>
      </c>
    </row>
    <row r="143" spans="2:9" x14ac:dyDescent="0.25">
      <c r="B143" s="273" t="s">
        <v>582</v>
      </c>
      <c r="C143" s="273" t="s">
        <v>1</v>
      </c>
      <c r="D143" s="278">
        <f>D130*'FE''s queima combustíveis'!$I$36/1000</f>
        <v>0</v>
      </c>
      <c r="E143" s="259"/>
      <c r="F143" s="238">
        <f t="shared" si="21"/>
        <v>0</v>
      </c>
      <c r="G143" s="590"/>
      <c r="H143" s="550" t="e">
        <f t="shared" si="22"/>
        <v>#DIV/0!</v>
      </c>
      <c r="I143" s="550" t="e">
        <f t="shared" si="23"/>
        <v>#DIV/0!</v>
      </c>
    </row>
    <row r="144" spans="2:9" x14ac:dyDescent="0.25">
      <c r="B144" s="273" t="s">
        <v>583</v>
      </c>
      <c r="C144" s="273" t="s">
        <v>1</v>
      </c>
      <c r="D144" s="278">
        <f>D132*'FE''s queima combustíveis'!$I$37/1000</f>
        <v>0</v>
      </c>
      <c r="E144" s="259"/>
      <c r="F144" s="238">
        <f t="shared" si="21"/>
        <v>0</v>
      </c>
      <c r="G144" s="590"/>
      <c r="H144" s="550" t="e">
        <f t="shared" si="22"/>
        <v>#DIV/0!</v>
      </c>
      <c r="I144" s="550" t="e">
        <f t="shared" si="23"/>
        <v>#DIV/0!</v>
      </c>
    </row>
    <row r="145" spans="2:9" x14ac:dyDescent="0.25">
      <c r="B145" s="273" t="s">
        <v>520</v>
      </c>
      <c r="C145" s="273" t="s">
        <v>1</v>
      </c>
      <c r="D145" s="278">
        <f>D124*'FE''s queima combustíveis'!$I$38/1000</f>
        <v>0</v>
      </c>
      <c r="E145" s="259"/>
      <c r="F145" s="238">
        <f t="shared" si="21"/>
        <v>0</v>
      </c>
      <c r="G145" s="590"/>
      <c r="H145" s="550" t="e">
        <f t="shared" si="22"/>
        <v>#DIV/0!</v>
      </c>
      <c r="I145" s="550" t="e">
        <f t="shared" si="23"/>
        <v>#DIV/0!</v>
      </c>
    </row>
    <row r="146" spans="2:9" x14ac:dyDescent="0.25">
      <c r="B146" s="273" t="s">
        <v>518</v>
      </c>
      <c r="C146" s="273" t="s">
        <v>1</v>
      </c>
      <c r="D146" s="278">
        <f>D126*'FE''s queima combustíveis'!$I$39/1000</f>
        <v>0</v>
      </c>
      <c r="E146" s="259"/>
      <c r="F146" s="238">
        <f t="shared" si="21"/>
        <v>0</v>
      </c>
      <c r="G146" s="590"/>
      <c r="H146" s="550" t="e">
        <f t="shared" si="22"/>
        <v>#DIV/0!</v>
      </c>
      <c r="I146" s="550" t="e">
        <f t="shared" si="23"/>
        <v>#DIV/0!</v>
      </c>
    </row>
    <row r="147" spans="2:9" x14ac:dyDescent="0.25">
      <c r="B147" s="273" t="s">
        <v>519</v>
      </c>
      <c r="C147" s="273" t="s">
        <v>1</v>
      </c>
      <c r="D147" s="278">
        <f>D128*'FE''s queima combustíveis'!$I$40/1000</f>
        <v>0</v>
      </c>
      <c r="E147" s="259"/>
      <c r="F147" s="238">
        <f t="shared" si="21"/>
        <v>0</v>
      </c>
      <c r="G147" s="590"/>
      <c r="H147" s="550" t="e">
        <f t="shared" si="22"/>
        <v>#DIV/0!</v>
      </c>
      <c r="I147" s="550" t="e">
        <f t="shared" si="23"/>
        <v>#DIV/0!</v>
      </c>
    </row>
    <row r="148" spans="2:9" x14ac:dyDescent="0.25">
      <c r="B148" s="65"/>
      <c r="C148" s="14"/>
      <c r="D148" s="3"/>
      <c r="E148" s="68"/>
      <c r="F148" s="34"/>
      <c r="G148" s="615"/>
    </row>
    <row r="149" spans="2:9" ht="18" x14ac:dyDescent="0.25">
      <c r="B149" s="276" t="s">
        <v>54</v>
      </c>
      <c r="C149" s="274" t="s">
        <v>614</v>
      </c>
      <c r="D149" s="274"/>
      <c r="E149" s="275"/>
      <c r="F149" s="290">
        <f>SUM(F135:F147)</f>
        <v>0</v>
      </c>
      <c r="G149" s="597"/>
      <c r="H149" s="290" t="e">
        <f t="shared" si="22"/>
        <v>#DIV/0!</v>
      </c>
      <c r="I149" s="290" t="e">
        <f t="shared" ref="I149:I151" si="24">(F149/$E$93)*$F$93</f>
        <v>#DIV/0!</v>
      </c>
    </row>
    <row r="150" spans="2:9" ht="18" x14ac:dyDescent="0.25">
      <c r="B150" s="276" t="s">
        <v>61</v>
      </c>
      <c r="C150" s="274" t="s">
        <v>614</v>
      </c>
      <c r="D150" s="274"/>
      <c r="E150" s="275"/>
      <c r="F150" s="290" t="e">
        <f>SUM(F102:F133)</f>
        <v>#DIV/0!</v>
      </c>
      <c r="G150" s="597"/>
      <c r="H150" s="290" t="e">
        <f t="shared" si="22"/>
        <v>#DIV/0!</v>
      </c>
      <c r="I150" s="290" t="e">
        <f t="shared" si="24"/>
        <v>#DIV/0!</v>
      </c>
    </row>
    <row r="151" spans="2:9" ht="18" x14ac:dyDescent="0.25">
      <c r="B151" s="276" t="s">
        <v>55</v>
      </c>
      <c r="C151" s="274" t="s">
        <v>614</v>
      </c>
      <c r="D151" s="274"/>
      <c r="E151" s="275"/>
      <c r="F151" s="290" t="e">
        <f>F149+F150</f>
        <v>#DIV/0!</v>
      </c>
      <c r="G151" s="597"/>
      <c r="H151" s="290" t="e">
        <f t="shared" si="22"/>
        <v>#DIV/0!</v>
      </c>
      <c r="I151" s="290" t="e">
        <f t="shared" si="24"/>
        <v>#DIV/0!</v>
      </c>
    </row>
    <row r="152" spans="2:9" x14ac:dyDescent="0.25">
      <c r="B152" s="67"/>
      <c r="C152" s="67"/>
      <c r="D152" s="67"/>
      <c r="E152" s="67"/>
      <c r="F152" s="67"/>
      <c r="G152" s="362"/>
    </row>
    <row r="153" spans="2:9" x14ac:dyDescent="0.25">
      <c r="B153" s="67"/>
      <c r="C153" s="67"/>
      <c r="D153" s="67"/>
      <c r="E153" s="67"/>
      <c r="F153" s="67"/>
      <c r="G153" s="362"/>
    </row>
    <row r="154" spans="2:9" ht="18.75" x14ac:dyDescent="0.25">
      <c r="B154" s="737" t="s">
        <v>524</v>
      </c>
      <c r="C154" s="737"/>
      <c r="D154" s="737"/>
      <c r="E154" s="737"/>
      <c r="F154" s="737"/>
      <c r="G154" s="453"/>
      <c r="H154" s="362"/>
    </row>
    <row r="155" spans="2:9" x14ac:dyDescent="0.25">
      <c r="B155" s="573" t="s">
        <v>904</v>
      </c>
      <c r="C155" s="306"/>
      <c r="D155" s="306"/>
      <c r="E155" s="306"/>
      <c r="F155" s="306"/>
      <c r="G155" s="583"/>
      <c r="H155" s="362"/>
    </row>
    <row r="156" spans="2:9" x14ac:dyDescent="0.25">
      <c r="B156" s="300" t="s">
        <v>529</v>
      </c>
      <c r="C156" s="300" t="s">
        <v>0</v>
      </c>
      <c r="D156" s="300" t="s">
        <v>45</v>
      </c>
      <c r="E156" s="300" t="s">
        <v>46</v>
      </c>
      <c r="F156" s="300"/>
      <c r="G156" s="600"/>
      <c r="H156" s="362"/>
    </row>
    <row r="157" spans="2:9" ht="18" x14ac:dyDescent="0.25">
      <c r="B157" s="273" t="s">
        <v>525</v>
      </c>
      <c r="C157" s="274" t="s">
        <v>631</v>
      </c>
      <c r="D157" s="278">
        <f>$D$92*E1GM!$D$139</f>
        <v>0</v>
      </c>
      <c r="E157" s="278">
        <f>$D$93*E1GM!$D$144</f>
        <v>0</v>
      </c>
      <c r="F157" s="278"/>
      <c r="G157" s="598"/>
      <c r="H157" s="362"/>
    </row>
    <row r="158" spans="2:9" x14ac:dyDescent="0.25">
      <c r="B158" s="273" t="s">
        <v>531</v>
      </c>
      <c r="C158" s="273" t="s">
        <v>258</v>
      </c>
      <c r="D158" s="277">
        <f>'Dados auxiliares'!C157</f>
        <v>700</v>
      </c>
      <c r="E158" s="277">
        <f>'Dados auxiliares'!C157</f>
        <v>700</v>
      </c>
      <c r="F158" s="277"/>
      <c r="G158" s="544"/>
      <c r="H158" s="362"/>
    </row>
    <row r="159" spans="2:9" ht="18" x14ac:dyDescent="0.25">
      <c r="B159" s="273" t="s">
        <v>528</v>
      </c>
      <c r="C159" s="274" t="s">
        <v>632</v>
      </c>
      <c r="D159" s="278">
        <f>D157/1000*D158</f>
        <v>0</v>
      </c>
      <c r="E159" s="278">
        <f>E157/1000*E158</f>
        <v>0</v>
      </c>
      <c r="F159" s="278"/>
      <c r="G159" s="598"/>
      <c r="H159" s="362"/>
    </row>
    <row r="160" spans="2:9" ht="18" x14ac:dyDescent="0.25">
      <c r="B160" s="273" t="s">
        <v>52</v>
      </c>
      <c r="C160" s="274" t="s">
        <v>614</v>
      </c>
      <c r="D160" s="278">
        <f>D159*'Dados auxiliares'!$H$132</f>
        <v>0</v>
      </c>
      <c r="E160" s="278">
        <f>E159*'Dados auxiliares'!$H$132</f>
        <v>0</v>
      </c>
      <c r="F160" s="278"/>
      <c r="G160" s="598"/>
      <c r="H160" s="362"/>
    </row>
    <row r="161" spans="2:9" ht="18" x14ac:dyDescent="0.25">
      <c r="B161" s="302" t="s">
        <v>52</v>
      </c>
      <c r="C161" s="303" t="s">
        <v>530</v>
      </c>
      <c r="D161" s="304" t="e">
        <f>D160/$E$92</f>
        <v>#DIV/0!</v>
      </c>
      <c r="E161" s="304" t="e">
        <f>E160/$E$93</f>
        <v>#DIV/0!</v>
      </c>
      <c r="F161" s="304"/>
      <c r="G161" s="601"/>
      <c r="H161" s="362"/>
    </row>
    <row r="162" spans="2:9" x14ac:dyDescent="0.25">
      <c r="B162" s="573" t="s">
        <v>907</v>
      </c>
      <c r="C162" s="573"/>
      <c r="D162" s="573"/>
      <c r="E162" s="573"/>
      <c r="F162" s="573"/>
      <c r="G162" s="583"/>
      <c r="H162" s="362"/>
      <c r="I162" s="542"/>
    </row>
    <row r="163" spans="2:9" x14ac:dyDescent="0.25">
      <c r="B163" s="300" t="s">
        <v>529</v>
      </c>
      <c r="C163" s="300" t="s">
        <v>0</v>
      </c>
      <c r="D163" s="300" t="s">
        <v>45</v>
      </c>
      <c r="E163" s="300" t="s">
        <v>46</v>
      </c>
      <c r="F163" s="300"/>
      <c r="G163" s="600"/>
      <c r="H163" s="362"/>
      <c r="I163" s="542"/>
    </row>
    <row r="164" spans="2:9" ht="18" x14ac:dyDescent="0.25">
      <c r="B164" s="273" t="s">
        <v>525</v>
      </c>
      <c r="C164" s="274" t="s">
        <v>631</v>
      </c>
      <c r="D164" s="278">
        <f>$D$92*E1GM!$D$140</f>
        <v>0</v>
      </c>
      <c r="E164" s="278">
        <f>$D$93*E1GM!$D$145</f>
        <v>0</v>
      </c>
      <c r="F164" s="278"/>
      <c r="G164" s="601"/>
      <c r="H164" s="362"/>
      <c r="I164" s="542"/>
    </row>
    <row r="165" spans="2:9" x14ac:dyDescent="0.25">
      <c r="B165" s="273" t="s">
        <v>531</v>
      </c>
      <c r="C165" s="273" t="s">
        <v>258</v>
      </c>
      <c r="D165" s="277">
        <f>'Dados auxiliares'!K157</f>
        <v>1300</v>
      </c>
      <c r="E165" s="277">
        <f>'Dados auxiliares'!K157</f>
        <v>1300</v>
      </c>
      <c r="F165" s="277"/>
      <c r="G165" s="601"/>
      <c r="H165" s="362"/>
      <c r="I165" s="542"/>
    </row>
    <row r="166" spans="2:9" ht="18" x14ac:dyDescent="0.25">
      <c r="B166" s="273" t="s">
        <v>528</v>
      </c>
      <c r="C166" s="274" t="s">
        <v>632</v>
      </c>
      <c r="D166" s="278">
        <f>D164/1000*D165</f>
        <v>0</v>
      </c>
      <c r="E166" s="278">
        <f>E164/1000*E165</f>
        <v>0</v>
      </c>
      <c r="F166" s="278"/>
      <c r="G166" s="601"/>
      <c r="H166" s="362"/>
      <c r="I166" s="542"/>
    </row>
    <row r="167" spans="2:9" x14ac:dyDescent="0.25">
      <c r="B167" s="273" t="s">
        <v>908</v>
      </c>
      <c r="C167" s="274" t="s">
        <v>258</v>
      </c>
      <c r="D167" s="278">
        <f>'Dados auxiliares'!L157</f>
        <v>1240</v>
      </c>
      <c r="E167" s="278">
        <f>'Dados auxiliares'!L157</f>
        <v>1240</v>
      </c>
      <c r="F167" s="278"/>
      <c r="G167" s="601"/>
      <c r="H167" s="362"/>
      <c r="I167" s="542"/>
    </row>
    <row r="168" spans="2:9" ht="18" x14ac:dyDescent="0.25">
      <c r="B168" s="273" t="s">
        <v>909</v>
      </c>
      <c r="C168" s="274" t="s">
        <v>632</v>
      </c>
      <c r="D168" s="278">
        <f>D164/1000*D167</f>
        <v>0</v>
      </c>
      <c r="E168" s="278">
        <f>E164/1000*E167</f>
        <v>0</v>
      </c>
      <c r="F168" s="278"/>
      <c r="G168" s="601"/>
      <c r="H168" s="362"/>
      <c r="I168" s="542"/>
    </row>
    <row r="169" spans="2:9" ht="18" x14ac:dyDescent="0.25">
      <c r="B169" s="273" t="s">
        <v>52</v>
      </c>
      <c r="C169" s="273" t="s">
        <v>614</v>
      </c>
      <c r="D169" s="277">
        <f>D166*'Dados auxiliares'!$H$132+D168*'Dados auxiliares'!$H$134</f>
        <v>0</v>
      </c>
      <c r="E169" s="277">
        <f>E166*'Dados auxiliares'!$H$132+E168*'Dados auxiliares'!$H$134</f>
        <v>0</v>
      </c>
      <c r="F169" s="277"/>
      <c r="G169" s="601"/>
      <c r="H169" s="362"/>
      <c r="I169" s="542"/>
    </row>
    <row r="170" spans="2:9" ht="18" x14ac:dyDescent="0.25">
      <c r="B170" s="302" t="s">
        <v>52</v>
      </c>
      <c r="C170" s="303" t="s">
        <v>530</v>
      </c>
      <c r="D170" s="304" t="e">
        <f>D169/$E$92</f>
        <v>#DIV/0!</v>
      </c>
      <c r="E170" s="304" t="e">
        <f>E169/$E$93</f>
        <v>#DIV/0!</v>
      </c>
      <c r="F170" s="304"/>
      <c r="G170" s="601"/>
      <c r="H170" s="362"/>
      <c r="I170" s="542"/>
    </row>
    <row r="171" spans="2:9" ht="6" customHeight="1" x14ac:dyDescent="0.25">
      <c r="B171" s="71"/>
      <c r="C171" s="71"/>
      <c r="D171" s="71"/>
      <c r="E171" s="71"/>
      <c r="F171" s="71"/>
      <c r="G171" s="71"/>
      <c r="H171" s="362"/>
    </row>
    <row r="172" spans="2:9" ht="18" x14ac:dyDescent="0.25">
      <c r="B172" s="279" t="s">
        <v>55</v>
      </c>
      <c r="C172" s="279" t="s">
        <v>535</v>
      </c>
      <c r="D172" s="290" t="e">
        <f>D161+D170</f>
        <v>#DIV/0!</v>
      </c>
      <c r="E172" s="290" t="e">
        <f>E161+E170</f>
        <v>#DIV/0!</v>
      </c>
      <c r="F172" s="305"/>
      <c r="G172" s="602"/>
      <c r="H172" s="362"/>
    </row>
    <row r="173" spans="2:9" x14ac:dyDescent="0.25">
      <c r="H173" s="362"/>
    </row>
  </sheetData>
  <mergeCells count="12">
    <mergeCell ref="B154:F154"/>
    <mergeCell ref="C3:D3"/>
    <mergeCell ref="E3:F3"/>
    <mergeCell ref="C4:D4"/>
    <mergeCell ref="E4:F4"/>
    <mergeCell ref="H11:H15"/>
    <mergeCell ref="I11:I15"/>
    <mergeCell ref="H90:H99"/>
    <mergeCell ref="I90:I99"/>
    <mergeCell ref="B2:F2"/>
    <mergeCell ref="B11:F11"/>
    <mergeCell ref="B90:F90"/>
  </mergeCells>
  <pageMargins left="0.511811024" right="0.511811024" top="0.78740157499999996" bottom="0.78740157499999996" header="0.31496062000000002" footer="0.31496062000000002"/>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5">
    <tabColor rgb="FF2D70C9"/>
  </sheetPr>
  <dimension ref="A1:AA315"/>
  <sheetViews>
    <sheetView showGridLines="0" workbookViewId="0">
      <selection activeCell="D26" sqref="D26"/>
    </sheetView>
  </sheetViews>
  <sheetFormatPr defaultColWidth="9.140625" defaultRowHeight="15" outlineLevelRow="1" x14ac:dyDescent="0.25"/>
  <cols>
    <col min="1" max="1" width="5.7109375" style="42" customWidth="1"/>
    <col min="2" max="2" width="35.7109375" style="42" customWidth="1"/>
    <col min="3" max="3" width="20.7109375" style="42" customWidth="1"/>
    <col min="4" max="4" width="15.7109375" style="18" customWidth="1"/>
    <col min="5" max="5" width="16.7109375" style="42" customWidth="1"/>
    <col min="6" max="6" width="20.7109375" style="42" customWidth="1"/>
    <col min="7" max="7" width="21.28515625" style="42" customWidth="1"/>
    <col min="8" max="8" width="9.7109375" style="42" customWidth="1"/>
    <col min="9" max="9" width="11.85546875" style="42" customWidth="1"/>
    <col min="10" max="10" width="11.42578125" style="42" customWidth="1"/>
    <col min="11" max="11" width="35.7109375" style="42" customWidth="1"/>
    <col min="12" max="12" width="20.7109375" style="42" customWidth="1"/>
    <col min="13" max="13" width="15.7109375" style="42" customWidth="1"/>
    <col min="14" max="14" width="16.7109375" style="42" customWidth="1"/>
    <col min="15" max="15" width="20.7109375" style="42" customWidth="1"/>
    <col min="16" max="16" width="8.7109375" style="42" customWidth="1"/>
    <col min="17" max="17" width="9.7109375" style="42" customWidth="1"/>
    <col min="18" max="16384" width="9.140625" style="42"/>
  </cols>
  <sheetData>
    <row r="1" spans="1:14" ht="90" customHeight="1" x14ac:dyDescent="0.25">
      <c r="A1" s="355" t="s">
        <v>602</v>
      </c>
      <c r="B1" s="62"/>
      <c r="C1" s="62"/>
      <c r="D1" s="62"/>
      <c r="E1" s="62"/>
      <c r="F1" s="62"/>
      <c r="G1" s="62"/>
      <c r="H1" s="62"/>
    </row>
    <row r="2" spans="1:14" s="52" customFormat="1" ht="25.15" customHeight="1" x14ac:dyDescent="0.25">
      <c r="B2" s="52" t="s">
        <v>956</v>
      </c>
    </row>
    <row r="3" spans="1:14" s="108" customFormat="1" x14ac:dyDescent="0.25">
      <c r="C3" s="103"/>
    </row>
    <row r="4" spans="1:14" s="85" customFormat="1" ht="15.75" x14ac:dyDescent="0.25">
      <c r="B4" s="181" t="s">
        <v>238</v>
      </c>
      <c r="C4" s="726" t="s">
        <v>538</v>
      </c>
      <c r="D4" s="727"/>
      <c r="E4" s="727"/>
      <c r="F4" s="727"/>
      <c r="G4" s="727"/>
      <c r="H4" s="728"/>
      <c r="M4" s="108"/>
      <c r="N4" s="108"/>
    </row>
    <row r="5" spans="1:14" s="85" customFormat="1" ht="6" customHeight="1" x14ac:dyDescent="0.25">
      <c r="B5" s="182"/>
      <c r="C5" s="114"/>
      <c r="D5" s="114"/>
      <c r="E5" s="114"/>
      <c r="F5" s="114"/>
      <c r="G5" s="114"/>
      <c r="H5" s="114"/>
      <c r="M5" s="108"/>
      <c r="N5" s="108"/>
    </row>
    <row r="6" spans="1:14" s="85" customFormat="1" ht="15.75" x14ac:dyDescent="0.25">
      <c r="B6" s="181" t="s">
        <v>342</v>
      </c>
      <c r="C6" s="726" t="s">
        <v>343</v>
      </c>
      <c r="D6" s="727"/>
      <c r="E6" s="727"/>
      <c r="F6" s="727"/>
      <c r="G6" s="727"/>
      <c r="H6" s="728"/>
      <c r="M6" s="108"/>
      <c r="N6" s="108"/>
    </row>
    <row r="7" spans="1:14" s="85" customFormat="1" ht="6" customHeight="1" x14ac:dyDescent="0.25">
      <c r="B7" s="181"/>
      <c r="C7" s="114"/>
      <c r="D7" s="114"/>
      <c r="E7" s="114"/>
      <c r="F7" s="114"/>
      <c r="G7" s="114"/>
      <c r="H7" s="114"/>
      <c r="M7" s="108"/>
      <c r="N7" s="108"/>
    </row>
    <row r="8" spans="1:14" s="85" customFormat="1" ht="15.75" x14ac:dyDescent="0.25">
      <c r="B8" s="181" t="s">
        <v>239</v>
      </c>
      <c r="C8" s="726"/>
      <c r="D8" s="727"/>
      <c r="E8" s="727"/>
      <c r="F8" s="727"/>
      <c r="G8" s="727"/>
      <c r="H8" s="728"/>
      <c r="M8" s="108"/>
      <c r="N8" s="108"/>
    </row>
    <row r="9" spans="1:14" s="85" customFormat="1" ht="6" customHeight="1" x14ac:dyDescent="0.25">
      <c r="B9" s="182"/>
      <c r="C9" s="114"/>
      <c r="D9" s="114"/>
      <c r="E9" s="115"/>
      <c r="F9" s="115"/>
      <c r="G9" s="115"/>
      <c r="H9" s="115"/>
      <c r="M9" s="108"/>
      <c r="N9" s="108"/>
    </row>
    <row r="10" spans="1:14" s="85" customFormat="1" ht="15.75" x14ac:dyDescent="0.25">
      <c r="B10" s="181" t="s">
        <v>240</v>
      </c>
      <c r="C10" s="726" t="s">
        <v>344</v>
      </c>
      <c r="D10" s="728"/>
      <c r="E10" s="116"/>
      <c r="F10" s="108"/>
      <c r="G10" s="108"/>
      <c r="H10" s="108"/>
      <c r="M10" s="108"/>
      <c r="N10" s="108"/>
    </row>
    <row r="11" spans="1:14" s="108" customFormat="1" ht="15.75" x14ac:dyDescent="0.25">
      <c r="C11" s="112"/>
      <c r="I11" s="85"/>
      <c r="J11" s="85"/>
    </row>
    <row r="12" spans="1:14" ht="6" customHeight="1" x14ac:dyDescent="0.25">
      <c r="A12" s="108"/>
      <c r="B12" s="151"/>
      <c r="C12" s="99"/>
      <c r="D12" s="99"/>
      <c r="E12" s="33"/>
      <c r="F12" s="33"/>
      <c r="G12" s="33"/>
      <c r="H12" s="33"/>
      <c r="I12" s="85"/>
      <c r="J12" s="85"/>
    </row>
    <row r="13" spans="1:14" ht="17.25" x14ac:dyDescent="0.25">
      <c r="A13" s="108"/>
      <c r="B13" s="43"/>
      <c r="C13" s="729" t="s">
        <v>125</v>
      </c>
      <c r="D13" s="729"/>
      <c r="E13" s="33"/>
      <c r="F13" s="33"/>
      <c r="G13" s="33"/>
      <c r="H13" s="33"/>
      <c r="I13" s="85"/>
      <c r="J13" s="85"/>
    </row>
    <row r="14" spans="1:14" ht="6" customHeight="1" x14ac:dyDescent="0.25">
      <c r="A14" s="108"/>
      <c r="B14" s="43"/>
      <c r="C14" s="82"/>
      <c r="D14" s="82"/>
      <c r="E14" s="33"/>
      <c r="F14" s="33"/>
      <c r="G14" s="33"/>
      <c r="H14" s="33"/>
      <c r="I14" s="85"/>
      <c r="J14" s="85"/>
    </row>
    <row r="15" spans="1:14" ht="31.5" x14ac:dyDescent="0.25">
      <c r="A15" s="108"/>
      <c r="B15" s="534" t="s">
        <v>829</v>
      </c>
      <c r="C15" s="155">
        <f>SUM(C17:C20)</f>
        <v>0.43899999999999995</v>
      </c>
      <c r="D15" s="736" t="s">
        <v>828</v>
      </c>
      <c r="E15" s="736"/>
      <c r="F15" s="736"/>
      <c r="G15" s="155">
        <f>G18-C15</f>
        <v>86.961000000000013</v>
      </c>
      <c r="H15" s="33"/>
      <c r="I15" s="85"/>
      <c r="J15" s="85"/>
    </row>
    <row r="16" spans="1:14" ht="6" customHeight="1" x14ac:dyDescent="0.25">
      <c r="A16" s="108"/>
      <c r="B16" s="152"/>
      <c r="C16" s="82"/>
      <c r="D16" s="82"/>
      <c r="E16" s="33"/>
      <c r="F16" s="40"/>
      <c r="G16" s="33"/>
      <c r="H16" s="33"/>
      <c r="I16" s="85"/>
      <c r="J16" s="85"/>
    </row>
    <row r="17" spans="1:27" ht="17.25" x14ac:dyDescent="0.25">
      <c r="A17" s="108"/>
      <c r="B17" s="228" t="s">
        <v>159</v>
      </c>
      <c r="C17" s="142">
        <f>IFERROR(IF(C13="Etanol Anidro",_E1GMI!C5,IF(C13="Etanol Hidratado",_E1GMI!E5,"")),0)</f>
        <v>0</v>
      </c>
      <c r="D17" s="82"/>
      <c r="E17" s="33"/>
      <c r="F17" s="153"/>
      <c r="G17" s="153" t="s">
        <v>865</v>
      </c>
      <c r="H17" s="33"/>
      <c r="I17" s="85"/>
      <c r="J17" s="85"/>
    </row>
    <row r="18" spans="1:27" ht="22.5" customHeight="1" x14ac:dyDescent="0.25">
      <c r="A18" s="108"/>
      <c r="B18" s="228" t="s">
        <v>160</v>
      </c>
      <c r="C18" s="142">
        <f>IFERROR(IF(C13="Etanol Anidro",_E1GMI!C6,IF(C13="Etanol Hidratado",_E1GMI!E6,"")),0)</f>
        <v>0</v>
      </c>
      <c r="D18" s="82"/>
      <c r="E18" s="33"/>
      <c r="F18" s="153"/>
      <c r="G18" s="580">
        <f>'Dados auxiliares'!F166</f>
        <v>87.4</v>
      </c>
      <c r="H18" s="33"/>
      <c r="I18" s="85"/>
      <c r="J18" s="85"/>
    </row>
    <row r="19" spans="1:27" ht="17.25" x14ac:dyDescent="0.25">
      <c r="A19" s="108"/>
      <c r="B19" s="228" t="s">
        <v>161</v>
      </c>
      <c r="C19" s="142">
        <f>IFERROR(IF(C13="Etanol Anidro",_E1GMI!C7,IF(C13="Etanol Hidratado",_E1GMI!E7,"")),0)</f>
        <v>0</v>
      </c>
      <c r="D19" s="82"/>
      <c r="E19" s="33"/>
      <c r="F19" s="153"/>
      <c r="G19" s="153" t="s">
        <v>539</v>
      </c>
      <c r="H19" s="33"/>
      <c r="I19" s="85"/>
      <c r="J19" s="85"/>
    </row>
    <row r="20" spans="1:27" ht="17.25" x14ac:dyDescent="0.25">
      <c r="A20" s="108"/>
      <c r="B20" s="228" t="s">
        <v>189</v>
      </c>
      <c r="C20" s="142">
        <f>IFERROR(IF(C13="Etanol Anidro",_E1GMI!C8,IF(C13="Etanol Hidratado",_E1GMI!E8,"")),0)</f>
        <v>0.43899999999999995</v>
      </c>
      <c r="D20" s="82"/>
      <c r="E20" s="33"/>
      <c r="F20" s="153"/>
      <c r="G20" s="154">
        <f>(G18-C15)/G18</f>
        <v>0.9949771167048056</v>
      </c>
      <c r="H20" s="33"/>
      <c r="I20" s="85"/>
      <c r="J20" s="85"/>
    </row>
    <row r="21" spans="1:27" ht="6" customHeight="1" x14ac:dyDescent="0.25">
      <c r="A21" s="108"/>
      <c r="B21" s="228"/>
      <c r="C21" s="121"/>
      <c r="D21" s="82"/>
      <c r="E21" s="33"/>
      <c r="F21" s="123"/>
      <c r="G21" s="33"/>
      <c r="H21" s="33"/>
      <c r="I21" s="85"/>
      <c r="J21" s="85"/>
    </row>
    <row r="22" spans="1:27" x14ac:dyDescent="0.25">
      <c r="A22" s="108"/>
      <c r="B22" s="108"/>
      <c r="C22" s="108"/>
      <c r="D22" s="108"/>
      <c r="E22" s="108"/>
      <c r="F22" s="108"/>
      <c r="G22" s="108"/>
      <c r="H22" s="108"/>
      <c r="I22" s="108"/>
      <c r="J22" s="108"/>
      <c r="K22" s="74"/>
      <c r="L22" s="74"/>
      <c r="M22" s="74"/>
      <c r="N22" s="74"/>
      <c r="O22" s="74"/>
      <c r="P22" s="74"/>
      <c r="Q22" s="74"/>
    </row>
    <row r="23" spans="1:27" ht="18.75" x14ac:dyDescent="0.25">
      <c r="A23" s="108"/>
      <c r="B23" s="732" t="s">
        <v>951</v>
      </c>
      <c r="C23" s="732"/>
      <c r="D23" s="732"/>
      <c r="E23" s="732"/>
      <c r="F23" s="732"/>
      <c r="G23" s="732"/>
      <c r="H23" s="732"/>
      <c r="I23" s="85"/>
      <c r="J23" s="85"/>
      <c r="K23" s="563"/>
      <c r="L23" s="563"/>
      <c r="M23" s="563"/>
      <c r="N23" s="563"/>
      <c r="O23" s="563"/>
      <c r="P23" s="563"/>
      <c r="Q23" s="563"/>
    </row>
    <row r="24" spans="1:27" ht="18.75" x14ac:dyDescent="0.25">
      <c r="A24" s="108"/>
      <c r="B24" s="725" t="s">
        <v>276</v>
      </c>
      <c r="C24" s="725"/>
      <c r="D24" s="725"/>
      <c r="E24" s="725"/>
      <c r="F24" s="725"/>
      <c r="G24" s="725"/>
      <c r="H24" s="725"/>
      <c r="I24" s="85"/>
      <c r="J24" s="85"/>
      <c r="K24" s="561"/>
      <c r="L24" s="561"/>
      <c r="M24" s="561"/>
      <c r="N24" s="561"/>
      <c r="O24" s="561"/>
      <c r="P24" s="561"/>
      <c r="Q24" s="561"/>
    </row>
    <row r="25" spans="1:27" ht="15.75" hidden="1" x14ac:dyDescent="0.25">
      <c r="A25" s="108"/>
      <c r="B25" s="24"/>
      <c r="C25" s="91" t="s">
        <v>348</v>
      </c>
      <c r="D25" s="629" t="s">
        <v>127</v>
      </c>
      <c r="E25" s="27"/>
      <c r="F25" s="27"/>
      <c r="G25" s="27"/>
      <c r="H25" s="73"/>
      <c r="I25" s="85"/>
      <c r="J25" s="85"/>
      <c r="K25" s="130"/>
      <c r="L25" s="130"/>
      <c r="M25" s="130"/>
      <c r="N25" s="130"/>
      <c r="O25" s="130"/>
      <c r="P25" s="130"/>
      <c r="Q25" s="130"/>
    </row>
    <row r="26" spans="1:27" ht="15.75" x14ac:dyDescent="0.25">
      <c r="A26" s="108"/>
      <c r="B26" s="24"/>
      <c r="C26" s="91" t="s">
        <v>355</v>
      </c>
      <c r="D26" s="644"/>
      <c r="E26" s="92" t="s">
        <v>36</v>
      </c>
      <c r="F26" s="225"/>
      <c r="G26" s="89"/>
      <c r="H26" s="73"/>
      <c r="I26" s="85"/>
      <c r="J26" s="85"/>
      <c r="K26" s="130"/>
      <c r="L26" s="130"/>
      <c r="M26" s="130"/>
      <c r="N26" s="130"/>
      <c r="O26" s="130"/>
      <c r="P26" s="130"/>
      <c r="Q26" s="130"/>
      <c r="V26" s="130"/>
      <c r="W26" s="744"/>
      <c r="X26" s="744"/>
      <c r="Y26" s="358"/>
      <c r="Z26" s="358"/>
      <c r="AA26" s="358"/>
    </row>
    <row r="27" spans="1:27" ht="6" customHeight="1" x14ac:dyDescent="0.25">
      <c r="A27" s="108"/>
      <c r="B27" s="36"/>
      <c r="C27" s="41"/>
      <c r="D27" s="41"/>
      <c r="E27" s="41"/>
      <c r="F27" s="63"/>
      <c r="G27" s="37"/>
      <c r="H27" s="41"/>
      <c r="I27" s="85"/>
      <c r="J27" s="85"/>
      <c r="K27" s="130"/>
      <c r="L27" s="130"/>
      <c r="M27" s="130"/>
      <c r="N27" s="130"/>
      <c r="O27" s="130"/>
      <c r="P27" s="130"/>
      <c r="Q27" s="130"/>
      <c r="V27" s="130"/>
      <c r="W27" s="131"/>
      <c r="X27" s="131"/>
      <c r="Y27" s="358"/>
      <c r="Z27" s="358"/>
      <c r="AA27" s="358"/>
    </row>
    <row r="28" spans="1:27" ht="15.75" x14ac:dyDescent="0.25">
      <c r="A28" s="108"/>
      <c r="B28" s="24"/>
      <c r="C28" s="91" t="s">
        <v>604</v>
      </c>
      <c r="D28" s="644"/>
      <c r="E28" s="92" t="s">
        <v>603</v>
      </c>
      <c r="F28" s="311" t="s">
        <v>134</v>
      </c>
      <c r="G28" s="670"/>
      <c r="H28" s="89"/>
      <c r="I28" s="85"/>
      <c r="J28" s="85"/>
      <c r="K28" s="130"/>
      <c r="L28" s="130"/>
      <c r="M28" s="130"/>
      <c r="N28" s="130"/>
      <c r="O28" s="130"/>
      <c r="P28" s="130"/>
      <c r="Q28" s="130"/>
    </row>
    <row r="29" spans="1:27" ht="31.5" customHeight="1" x14ac:dyDescent="0.25">
      <c r="A29" s="108"/>
      <c r="B29" s="742" t="s">
        <v>996</v>
      </c>
      <c r="C29" s="743"/>
      <c r="D29" s="644"/>
      <c r="E29" s="685" t="s">
        <v>603</v>
      </c>
      <c r="F29" s="686"/>
      <c r="G29" s="687"/>
      <c r="H29" s="688"/>
      <c r="I29" s="85"/>
      <c r="J29" s="85"/>
      <c r="K29" s="130"/>
      <c r="L29" s="130"/>
      <c r="M29" s="130"/>
      <c r="N29" s="130"/>
      <c r="O29" s="130"/>
      <c r="P29" s="130"/>
      <c r="Q29" s="130"/>
    </row>
    <row r="30" spans="1:27" ht="15.75" x14ac:dyDescent="0.25">
      <c r="A30" s="108"/>
      <c r="B30" s="24"/>
      <c r="C30" s="91" t="s">
        <v>429</v>
      </c>
      <c r="D30" s="644"/>
      <c r="E30" s="92" t="s">
        <v>354</v>
      </c>
      <c r="F30" s="225"/>
      <c r="G30" s="89"/>
      <c r="H30" s="354"/>
      <c r="I30" s="85"/>
      <c r="J30" s="85"/>
      <c r="K30" s="130"/>
      <c r="L30" s="130"/>
      <c r="M30" s="130"/>
      <c r="N30" s="130"/>
      <c r="O30" s="130"/>
      <c r="P30" s="130"/>
      <c r="Q30" s="130"/>
    </row>
    <row r="31" spans="1:27" ht="6" customHeight="1" x14ac:dyDescent="0.25">
      <c r="A31" s="108"/>
      <c r="B31" s="96"/>
      <c r="C31" s="96"/>
      <c r="D31" s="96"/>
      <c r="E31" s="96"/>
      <c r="F31" s="96"/>
      <c r="G31" s="96"/>
      <c r="H31" s="96"/>
      <c r="I31" s="85"/>
      <c r="J31" s="85"/>
      <c r="K31" s="130"/>
      <c r="L31" s="130"/>
      <c r="M31" s="130"/>
      <c r="N31" s="130"/>
      <c r="O31" s="130"/>
      <c r="P31" s="130"/>
      <c r="Q31" s="130"/>
    </row>
    <row r="32" spans="1:27" ht="15.75" x14ac:dyDescent="0.25">
      <c r="A32" s="108"/>
      <c r="B32" s="723" t="s">
        <v>338</v>
      </c>
      <c r="C32" s="723"/>
      <c r="D32" s="723"/>
      <c r="E32" s="723"/>
      <c r="F32" s="723"/>
      <c r="G32" s="723"/>
      <c r="H32" s="723"/>
      <c r="I32" s="85"/>
      <c r="J32" s="85"/>
      <c r="K32" s="562"/>
      <c r="L32" s="562"/>
      <c r="M32" s="562"/>
      <c r="N32" s="562"/>
      <c r="O32" s="562"/>
      <c r="P32" s="562"/>
      <c r="Q32" s="562"/>
    </row>
    <row r="33" spans="1:17" x14ac:dyDescent="0.25">
      <c r="A33" s="108"/>
      <c r="B33" s="97"/>
      <c r="C33" s="93" t="s">
        <v>164</v>
      </c>
      <c r="D33" s="644"/>
      <c r="E33" s="92" t="s">
        <v>605</v>
      </c>
      <c r="F33" s="225"/>
      <c r="G33" s="89"/>
      <c r="H33" s="73"/>
      <c r="I33" s="85"/>
      <c r="J33" s="85"/>
      <c r="K33" s="553"/>
      <c r="L33" s="554"/>
      <c r="M33" s="566"/>
      <c r="N33" s="556"/>
      <c r="O33" s="564"/>
      <c r="P33" s="565"/>
      <c r="Q33" s="108"/>
    </row>
    <row r="34" spans="1:17" x14ac:dyDescent="0.25">
      <c r="A34" s="108"/>
      <c r="B34" s="97"/>
      <c r="C34" s="93" t="s">
        <v>163</v>
      </c>
      <c r="D34" s="644"/>
      <c r="E34" s="92" t="s">
        <v>605</v>
      </c>
      <c r="F34" s="225"/>
      <c r="G34" s="89"/>
      <c r="H34" s="73"/>
      <c r="I34" s="85"/>
      <c r="J34" s="85"/>
      <c r="K34" s="553"/>
      <c r="L34" s="554"/>
      <c r="M34" s="566"/>
      <c r="N34" s="556"/>
      <c r="O34" s="564"/>
      <c r="P34" s="565"/>
      <c r="Q34" s="108"/>
    </row>
    <row r="35" spans="1:17" x14ac:dyDescent="0.25">
      <c r="A35" s="108"/>
      <c r="B35" s="97"/>
      <c r="C35" s="93" t="s">
        <v>28</v>
      </c>
      <c r="D35" s="644"/>
      <c r="E35" s="92" t="s">
        <v>605</v>
      </c>
      <c r="F35" s="225"/>
      <c r="G35" s="89"/>
      <c r="H35" s="73"/>
      <c r="I35" s="85"/>
      <c r="J35" s="85"/>
      <c r="K35" s="553"/>
      <c r="L35" s="554"/>
      <c r="M35" s="566"/>
      <c r="N35" s="556"/>
      <c r="O35" s="564"/>
      <c r="P35" s="565"/>
      <c r="Q35" s="108"/>
    </row>
    <row r="36" spans="1:17" ht="7.15" customHeight="1" x14ac:dyDescent="0.25">
      <c r="A36" s="108"/>
      <c r="B36" s="96"/>
      <c r="C36" s="96"/>
      <c r="D36" s="96"/>
      <c r="E36" s="96"/>
      <c r="F36" s="96"/>
      <c r="G36" s="96"/>
      <c r="H36" s="96"/>
      <c r="I36" s="85"/>
      <c r="J36" s="85"/>
      <c r="K36" s="138"/>
      <c r="L36" s="138"/>
      <c r="M36" s="138"/>
      <c r="N36" s="138"/>
      <c r="O36" s="138"/>
      <c r="P36" s="138"/>
      <c r="Q36" s="138"/>
    </row>
    <row r="37" spans="1:17" ht="15.75" x14ac:dyDescent="0.25">
      <c r="A37" s="108"/>
      <c r="B37" s="723" t="s">
        <v>341</v>
      </c>
      <c r="C37" s="723"/>
      <c r="D37" s="723"/>
      <c r="E37" s="723"/>
      <c r="F37" s="723"/>
      <c r="G37" s="723"/>
      <c r="H37" s="723"/>
      <c r="I37" s="85"/>
      <c r="J37" s="85"/>
      <c r="K37" s="562"/>
      <c r="L37" s="562"/>
      <c r="M37" s="562"/>
      <c r="N37" s="562"/>
      <c r="O37" s="562"/>
      <c r="P37" s="562"/>
      <c r="Q37" s="562"/>
    </row>
    <row r="38" spans="1:17" x14ac:dyDescent="0.25">
      <c r="A38" s="108"/>
      <c r="B38" s="93"/>
      <c r="C38" s="93" t="s">
        <v>341</v>
      </c>
      <c r="D38" s="644"/>
      <c r="E38" s="92" t="s">
        <v>605</v>
      </c>
      <c r="F38" s="27"/>
      <c r="G38" s="73"/>
      <c r="H38" s="73"/>
      <c r="I38" s="85"/>
      <c r="J38" s="85"/>
      <c r="K38" s="554"/>
      <c r="L38" s="554"/>
      <c r="M38" s="567"/>
      <c r="N38" s="556"/>
      <c r="O38" s="126"/>
      <c r="P38" s="108"/>
      <c r="Q38" s="108"/>
    </row>
    <row r="39" spans="1:17" ht="7.15" customHeight="1" x14ac:dyDescent="0.25">
      <c r="A39" s="108"/>
      <c r="B39" s="96"/>
      <c r="C39" s="96"/>
      <c r="D39" s="96"/>
      <c r="E39" s="96"/>
      <c r="F39" s="96"/>
      <c r="G39" s="96"/>
      <c r="H39" s="96"/>
      <c r="I39" s="85"/>
      <c r="J39" s="85"/>
      <c r="K39" s="138"/>
      <c r="L39" s="138"/>
      <c r="M39" s="138"/>
      <c r="N39" s="138"/>
      <c r="O39" s="138"/>
      <c r="P39" s="138"/>
      <c r="Q39" s="138"/>
    </row>
    <row r="40" spans="1:17" ht="15.75" x14ac:dyDescent="0.25">
      <c r="A40" s="108"/>
      <c r="B40" s="723" t="s">
        <v>339</v>
      </c>
      <c r="C40" s="723"/>
      <c r="D40" s="723"/>
      <c r="E40" s="723"/>
      <c r="F40" s="723"/>
      <c r="G40" s="723"/>
      <c r="H40" s="723"/>
      <c r="I40" s="85"/>
      <c r="J40" s="85"/>
      <c r="K40" s="562"/>
      <c r="L40" s="562"/>
      <c r="M40" s="562"/>
      <c r="N40" s="562"/>
      <c r="O40" s="562"/>
      <c r="P40" s="562"/>
      <c r="Q40" s="562"/>
    </row>
    <row r="41" spans="1:17" outlineLevel="1" x14ac:dyDescent="0.25">
      <c r="A41" s="108"/>
      <c r="B41" s="176"/>
      <c r="C41" s="179" t="s">
        <v>153</v>
      </c>
      <c r="D41" s="644"/>
      <c r="E41" s="94" t="s">
        <v>606</v>
      </c>
      <c r="F41" s="356"/>
      <c r="G41" s="357"/>
      <c r="H41" s="357"/>
      <c r="I41" s="85"/>
      <c r="J41" s="85"/>
      <c r="K41" s="4"/>
      <c r="L41" s="555"/>
      <c r="M41" s="568"/>
      <c r="N41" s="556"/>
      <c r="O41" s="557"/>
      <c r="P41" s="74"/>
      <c r="Q41" s="74"/>
    </row>
    <row r="42" spans="1:17" outlineLevel="1" x14ac:dyDescent="0.25">
      <c r="A42" s="108"/>
      <c r="B42" s="176"/>
      <c r="C42" s="179" t="s">
        <v>463</v>
      </c>
      <c r="D42" s="644"/>
      <c r="E42" s="94" t="s">
        <v>606</v>
      </c>
      <c r="F42" s="356"/>
      <c r="G42" s="357"/>
      <c r="H42" s="357"/>
      <c r="I42" s="85"/>
      <c r="J42" s="85"/>
      <c r="K42" s="4"/>
      <c r="L42" s="555"/>
      <c r="M42" s="568"/>
      <c r="N42" s="556"/>
      <c r="O42" s="557"/>
      <c r="P42" s="74"/>
      <c r="Q42" s="74"/>
    </row>
    <row r="43" spans="1:17" outlineLevel="1" x14ac:dyDescent="0.25">
      <c r="A43" s="108"/>
      <c r="B43" s="176"/>
      <c r="C43" s="179" t="s">
        <v>463</v>
      </c>
      <c r="D43" s="644"/>
      <c r="E43" s="94" t="s">
        <v>607</v>
      </c>
      <c r="F43" s="356"/>
      <c r="G43" s="357"/>
      <c r="H43" s="357"/>
      <c r="I43" s="85"/>
      <c r="J43" s="85"/>
      <c r="K43" s="4"/>
      <c r="L43" s="555"/>
      <c r="M43" s="568"/>
      <c r="N43" s="556"/>
      <c r="O43" s="557"/>
      <c r="P43" s="74"/>
      <c r="Q43" s="74"/>
    </row>
    <row r="44" spans="1:17" outlineLevel="1" x14ac:dyDescent="0.25">
      <c r="A44" s="108"/>
      <c r="B44" s="176"/>
      <c r="C44" s="179" t="s">
        <v>464</v>
      </c>
      <c r="D44" s="644"/>
      <c r="E44" s="94" t="s">
        <v>606</v>
      </c>
      <c r="F44" s="356"/>
      <c r="G44" s="357"/>
      <c r="H44" s="357"/>
      <c r="I44" s="85"/>
      <c r="J44" s="85"/>
      <c r="K44" s="4"/>
      <c r="L44" s="555"/>
      <c r="M44" s="568"/>
      <c r="N44" s="556"/>
      <c r="O44" s="557"/>
      <c r="P44" s="74"/>
      <c r="Q44" s="74"/>
    </row>
    <row r="45" spans="1:17" outlineLevel="1" x14ac:dyDescent="0.25">
      <c r="A45" s="108"/>
      <c r="B45" s="176"/>
      <c r="C45" s="179" t="s">
        <v>464</v>
      </c>
      <c r="D45" s="644"/>
      <c r="E45" s="94" t="s">
        <v>607</v>
      </c>
      <c r="F45" s="356"/>
      <c r="G45" s="357"/>
      <c r="H45" s="357"/>
      <c r="I45" s="85"/>
      <c r="J45" s="85"/>
      <c r="K45" s="4"/>
      <c r="L45" s="555"/>
      <c r="M45" s="568"/>
      <c r="N45" s="556"/>
      <c r="O45" s="557"/>
      <c r="P45" s="74"/>
      <c r="Q45" s="74"/>
    </row>
    <row r="46" spans="1:17" outlineLevel="1" x14ac:dyDescent="0.25">
      <c r="A46" s="108"/>
      <c r="B46" s="176"/>
      <c r="C46" s="179" t="s">
        <v>465</v>
      </c>
      <c r="D46" s="644"/>
      <c r="E46" s="94" t="s">
        <v>606</v>
      </c>
      <c r="F46" s="356"/>
      <c r="G46" s="357"/>
      <c r="H46" s="357"/>
      <c r="I46" s="85"/>
      <c r="J46" s="85"/>
      <c r="K46" s="4"/>
      <c r="L46" s="555"/>
      <c r="M46" s="568"/>
      <c r="N46" s="556"/>
      <c r="O46" s="557"/>
      <c r="P46" s="74"/>
      <c r="Q46" s="74"/>
    </row>
    <row r="47" spans="1:17" outlineLevel="1" x14ac:dyDescent="0.25">
      <c r="A47" s="108"/>
      <c r="B47" s="176"/>
      <c r="C47" s="179" t="s">
        <v>457</v>
      </c>
      <c r="D47" s="644"/>
      <c r="E47" s="94" t="s">
        <v>606</v>
      </c>
      <c r="F47" s="356"/>
      <c r="G47" s="357"/>
      <c r="H47" s="357"/>
      <c r="I47" s="85"/>
      <c r="J47" s="85"/>
      <c r="K47" s="4"/>
      <c r="L47" s="555"/>
      <c r="M47" s="568"/>
      <c r="N47" s="556"/>
      <c r="O47" s="557"/>
      <c r="P47" s="74"/>
      <c r="Q47" s="74"/>
    </row>
    <row r="48" spans="1:17" outlineLevel="1" x14ac:dyDescent="0.25">
      <c r="A48" s="108"/>
      <c r="B48" s="176"/>
      <c r="C48" s="179" t="s">
        <v>133</v>
      </c>
      <c r="D48" s="644"/>
      <c r="E48" s="94" t="s">
        <v>606</v>
      </c>
      <c r="F48" s="58"/>
      <c r="G48" s="357"/>
      <c r="H48" s="357"/>
      <c r="I48" s="85"/>
      <c r="J48" s="85"/>
      <c r="K48" s="4"/>
      <c r="L48" s="555"/>
      <c r="M48" s="568"/>
      <c r="N48" s="556"/>
      <c r="O48" s="76"/>
      <c r="P48" s="74"/>
      <c r="Q48" s="74"/>
    </row>
    <row r="49" spans="1:27" outlineLevel="1" x14ac:dyDescent="0.25">
      <c r="A49" s="108"/>
      <c r="B49" s="176"/>
      <c r="C49" s="179" t="s">
        <v>458</v>
      </c>
      <c r="D49" s="644"/>
      <c r="E49" s="94" t="s">
        <v>606</v>
      </c>
      <c r="F49" s="58"/>
      <c r="G49" s="357"/>
      <c r="H49" s="357"/>
      <c r="I49" s="85"/>
      <c r="J49" s="85"/>
      <c r="K49" s="4"/>
      <c r="L49" s="555"/>
      <c r="M49" s="568"/>
      <c r="N49" s="556"/>
      <c r="O49" s="76"/>
      <c r="P49" s="74"/>
      <c r="Q49" s="74"/>
    </row>
    <row r="50" spans="1:27" outlineLevel="1" x14ac:dyDescent="0.25">
      <c r="A50" s="108"/>
      <c r="B50" s="176"/>
      <c r="C50" s="179" t="s">
        <v>459</v>
      </c>
      <c r="D50" s="644"/>
      <c r="E50" s="94" t="s">
        <v>606</v>
      </c>
      <c r="F50" s="58"/>
      <c r="G50" s="357"/>
      <c r="H50" s="357"/>
      <c r="I50" s="85"/>
      <c r="J50" s="85"/>
      <c r="K50" s="4"/>
      <c r="L50" s="555"/>
      <c r="M50" s="568"/>
      <c r="N50" s="556"/>
      <c r="O50" s="76"/>
      <c r="P50" s="74"/>
      <c r="Q50" s="74"/>
    </row>
    <row r="51" spans="1:27" outlineLevel="1" x14ac:dyDescent="0.25">
      <c r="A51" s="108"/>
      <c r="B51" s="176"/>
      <c r="C51" s="179" t="s">
        <v>460</v>
      </c>
      <c r="D51" s="644"/>
      <c r="E51" s="94" t="s">
        <v>607</v>
      </c>
      <c r="F51" s="58"/>
      <c r="G51" s="357"/>
      <c r="H51" s="357"/>
      <c r="I51" s="85"/>
      <c r="J51" s="85"/>
      <c r="K51" s="4"/>
      <c r="L51" s="555"/>
      <c r="M51" s="568"/>
      <c r="N51" s="556"/>
      <c r="O51" s="76"/>
      <c r="P51" s="74"/>
      <c r="Q51" s="74"/>
    </row>
    <row r="52" spans="1:27" outlineLevel="1" x14ac:dyDescent="0.25">
      <c r="A52" s="108"/>
      <c r="B52" s="176"/>
      <c r="C52" s="179" t="s">
        <v>461</v>
      </c>
      <c r="D52" s="644"/>
      <c r="E52" s="94" t="s">
        <v>607</v>
      </c>
      <c r="F52" s="58"/>
      <c r="G52" s="357"/>
      <c r="H52" s="357"/>
      <c r="I52" s="85"/>
      <c r="J52" s="85"/>
      <c r="K52" s="4"/>
      <c r="L52" s="555"/>
      <c r="M52" s="568"/>
      <c r="N52" s="556"/>
      <c r="O52" s="76"/>
      <c r="P52" s="74"/>
      <c r="Q52" s="74"/>
    </row>
    <row r="53" spans="1:27" outlineLevel="1" x14ac:dyDescent="0.25">
      <c r="A53" s="108"/>
      <c r="B53" s="176"/>
      <c r="C53" s="179" t="s">
        <v>462</v>
      </c>
      <c r="D53" s="644"/>
      <c r="E53" s="94" t="s">
        <v>608</v>
      </c>
      <c r="F53" s="58"/>
      <c r="G53" s="357"/>
      <c r="H53" s="357"/>
      <c r="I53" s="85"/>
      <c r="J53" s="85"/>
      <c r="K53" s="4"/>
      <c r="L53" s="555"/>
      <c r="M53" s="568"/>
      <c r="N53" s="556"/>
      <c r="O53" s="76"/>
      <c r="P53" s="74"/>
      <c r="Q53" s="74"/>
    </row>
    <row r="54" spans="1:27" outlineLevel="1" x14ac:dyDescent="0.25">
      <c r="A54" s="108"/>
      <c r="B54" s="93" t="s">
        <v>30</v>
      </c>
      <c r="C54" s="629" t="s">
        <v>167</v>
      </c>
      <c r="D54" s="644"/>
      <c r="E54" s="94" t="s">
        <v>606</v>
      </c>
      <c r="F54" s="58"/>
      <c r="G54" s="357"/>
      <c r="H54" s="357"/>
      <c r="I54" s="85"/>
      <c r="J54" s="85"/>
      <c r="K54" s="554"/>
      <c r="L54" s="45"/>
      <c r="M54" s="568"/>
      <c r="N54" s="556"/>
      <c r="O54" s="76"/>
      <c r="P54" s="74"/>
      <c r="Q54" s="74"/>
      <c r="V54" s="359"/>
      <c r="W54" s="45"/>
      <c r="X54" s="360"/>
      <c r="Y54" s="138"/>
      <c r="Z54" s="76"/>
      <c r="AA54" s="74"/>
    </row>
    <row r="55" spans="1:27" outlineLevel="1" x14ac:dyDescent="0.25">
      <c r="A55" s="108"/>
      <c r="B55" s="93" t="s">
        <v>30</v>
      </c>
      <c r="C55" s="629" t="s">
        <v>167</v>
      </c>
      <c r="D55" s="644"/>
      <c r="E55" s="94" t="s">
        <v>607</v>
      </c>
      <c r="F55" s="58"/>
      <c r="G55" s="357"/>
      <c r="H55" s="357"/>
      <c r="I55" s="85"/>
      <c r="J55" s="85"/>
      <c r="K55" s="554"/>
      <c r="L55" s="45"/>
      <c r="M55" s="568"/>
      <c r="N55" s="556"/>
      <c r="O55" s="76"/>
      <c r="P55" s="74"/>
      <c r="Q55" s="74"/>
      <c r="V55" s="359"/>
      <c r="W55" s="45"/>
      <c r="X55" s="360"/>
      <c r="Y55" s="138"/>
      <c r="Z55" s="76"/>
      <c r="AA55" s="74"/>
    </row>
    <row r="56" spans="1:27" outlineLevel="1" x14ac:dyDescent="0.25">
      <c r="A56" s="108"/>
      <c r="B56" s="93" t="s">
        <v>30</v>
      </c>
      <c r="C56" s="637" t="s">
        <v>167</v>
      </c>
      <c r="D56" s="644"/>
      <c r="E56" s="94" t="s">
        <v>608</v>
      </c>
      <c r="F56" s="58"/>
      <c r="G56" s="357"/>
      <c r="H56" s="357"/>
      <c r="I56" s="85"/>
      <c r="J56" s="85"/>
      <c r="K56" s="554"/>
      <c r="L56" s="448"/>
      <c r="M56" s="568"/>
      <c r="N56" s="556"/>
      <c r="O56" s="76"/>
      <c r="P56" s="74"/>
      <c r="Q56" s="74"/>
      <c r="V56" s="359"/>
      <c r="W56" s="45"/>
      <c r="X56" s="360"/>
      <c r="Y56" s="138"/>
      <c r="Z56" s="76"/>
      <c r="AA56" s="74"/>
    </row>
    <row r="57" spans="1:27" ht="6" customHeight="1" outlineLevel="1" x14ac:dyDescent="0.25">
      <c r="A57" s="108"/>
      <c r="B57" s="24"/>
      <c r="C57" s="24"/>
      <c r="D57" s="24"/>
      <c r="E57" s="58"/>
      <c r="F57" s="58"/>
      <c r="G57" s="357"/>
      <c r="H57" s="357"/>
      <c r="I57" s="85"/>
      <c r="J57" s="85"/>
      <c r="K57" s="359"/>
      <c r="L57" s="359"/>
      <c r="M57" s="359"/>
      <c r="N57" s="76"/>
      <c r="O57" s="76"/>
      <c r="P57" s="4"/>
      <c r="Q57" s="4"/>
      <c r="V57" s="74"/>
      <c r="W57" s="74"/>
      <c r="X57" s="74"/>
      <c r="Y57" s="74"/>
      <c r="Z57" s="74"/>
      <c r="AA57" s="74"/>
    </row>
    <row r="58" spans="1:27" ht="15.75" outlineLevel="1" x14ac:dyDescent="0.25">
      <c r="A58" s="108"/>
      <c r="B58" s="723" t="s">
        <v>251</v>
      </c>
      <c r="C58" s="723"/>
      <c r="D58" s="723"/>
      <c r="E58" s="723"/>
      <c r="F58" s="723"/>
      <c r="G58" s="723"/>
      <c r="H58" s="723"/>
      <c r="I58" s="85"/>
      <c r="J58" s="85"/>
      <c r="K58" s="562"/>
      <c r="L58" s="562"/>
      <c r="M58" s="562"/>
      <c r="N58" s="562"/>
      <c r="O58" s="562"/>
      <c r="P58" s="562"/>
      <c r="Q58" s="562"/>
      <c r="V58" s="74"/>
      <c r="W58" s="74"/>
      <c r="X58" s="74"/>
      <c r="Y58" s="74"/>
      <c r="Z58" s="74"/>
      <c r="AA58" s="74"/>
    </row>
    <row r="59" spans="1:27" outlineLevel="1" x14ac:dyDescent="0.25">
      <c r="A59" s="108"/>
      <c r="B59" s="93" t="s">
        <v>30</v>
      </c>
      <c r="C59" s="629" t="s">
        <v>167</v>
      </c>
      <c r="D59" s="644"/>
      <c r="E59" s="94" t="s">
        <v>605</v>
      </c>
      <c r="F59" s="117" t="s">
        <v>205</v>
      </c>
      <c r="G59" s="644"/>
      <c r="H59" s="118" t="s">
        <v>365</v>
      </c>
      <c r="I59" s="85"/>
      <c r="J59" s="85"/>
      <c r="K59" s="554"/>
      <c r="L59" s="45"/>
      <c r="M59" s="568"/>
      <c r="N59" s="556"/>
      <c r="O59" s="558"/>
      <c r="P59" s="569"/>
      <c r="Q59" s="559"/>
      <c r="V59" s="74"/>
      <c r="W59" s="74"/>
      <c r="X59" s="74"/>
      <c r="Y59" s="74"/>
      <c r="Z59" s="74"/>
      <c r="AA59" s="74"/>
    </row>
    <row r="60" spans="1:27" outlineLevel="1" x14ac:dyDescent="0.25">
      <c r="A60" s="108"/>
      <c r="B60" s="93" t="s">
        <v>30</v>
      </c>
      <c r="C60" s="629" t="s">
        <v>167</v>
      </c>
      <c r="D60" s="644"/>
      <c r="E60" s="94" t="s">
        <v>605</v>
      </c>
      <c r="F60" s="117" t="s">
        <v>205</v>
      </c>
      <c r="G60" s="644"/>
      <c r="H60" s="118" t="s">
        <v>365</v>
      </c>
      <c r="I60" s="85"/>
      <c r="J60" s="85"/>
      <c r="K60" s="554"/>
      <c r="L60" s="45"/>
      <c r="M60" s="568"/>
      <c r="N60" s="556"/>
      <c r="O60" s="558"/>
      <c r="P60" s="569"/>
      <c r="Q60" s="559"/>
      <c r="V60" s="74"/>
      <c r="W60" s="74"/>
      <c r="X60" s="74"/>
      <c r="Y60" s="74"/>
      <c r="Z60" s="74"/>
      <c r="AA60" s="74"/>
    </row>
    <row r="61" spans="1:27" outlineLevel="1" x14ac:dyDescent="0.25">
      <c r="A61" s="108"/>
      <c r="B61" s="93" t="s">
        <v>30</v>
      </c>
      <c r="C61" s="629" t="s">
        <v>167</v>
      </c>
      <c r="D61" s="644"/>
      <c r="E61" s="94" t="s">
        <v>605</v>
      </c>
      <c r="F61" s="117" t="s">
        <v>205</v>
      </c>
      <c r="G61" s="644"/>
      <c r="H61" s="118" t="s">
        <v>365</v>
      </c>
      <c r="I61" s="85"/>
      <c r="J61" s="85"/>
      <c r="K61" s="554"/>
      <c r="L61" s="45"/>
      <c r="M61" s="568"/>
      <c r="N61" s="556"/>
      <c r="O61" s="558"/>
      <c r="P61" s="569"/>
      <c r="Q61" s="559"/>
      <c r="V61" s="74"/>
      <c r="W61" s="74"/>
      <c r="X61" s="74"/>
      <c r="Y61" s="74"/>
      <c r="Z61" s="74"/>
      <c r="AA61" s="74"/>
    </row>
    <row r="62" spans="1:27" outlineLevel="1" x14ac:dyDescent="0.25">
      <c r="A62" s="108"/>
      <c r="B62" s="93" t="s">
        <v>30</v>
      </c>
      <c r="C62" s="629" t="s">
        <v>167</v>
      </c>
      <c r="D62" s="644"/>
      <c r="E62" s="94" t="s">
        <v>605</v>
      </c>
      <c r="F62" s="117" t="s">
        <v>205</v>
      </c>
      <c r="G62" s="644"/>
      <c r="H62" s="118" t="s">
        <v>365</v>
      </c>
      <c r="I62" s="85"/>
      <c r="J62" s="85"/>
      <c r="K62" s="554"/>
      <c r="L62" s="45"/>
      <c r="M62" s="568"/>
      <c r="N62" s="556"/>
      <c r="O62" s="558"/>
      <c r="P62" s="569"/>
      <c r="Q62" s="559"/>
      <c r="V62" s="74"/>
      <c r="W62" s="74"/>
      <c r="X62" s="74"/>
      <c r="Y62" s="74"/>
      <c r="Z62" s="74"/>
      <c r="AA62" s="74"/>
    </row>
    <row r="63" spans="1:27" outlineLevel="1" x14ac:dyDescent="0.25">
      <c r="A63" s="108"/>
      <c r="B63" s="93" t="s">
        <v>30</v>
      </c>
      <c r="C63" s="629" t="s">
        <v>167</v>
      </c>
      <c r="D63" s="644"/>
      <c r="E63" s="94" t="s">
        <v>605</v>
      </c>
      <c r="F63" s="117" t="s">
        <v>205</v>
      </c>
      <c r="G63" s="644"/>
      <c r="H63" s="118" t="s">
        <v>365</v>
      </c>
      <c r="I63" s="85"/>
      <c r="J63" s="85"/>
      <c r="K63" s="554"/>
      <c r="L63" s="45"/>
      <c r="M63" s="568"/>
      <c r="N63" s="556"/>
      <c r="O63" s="558"/>
      <c r="P63" s="569"/>
      <c r="Q63" s="559"/>
      <c r="V63" s="74"/>
      <c r="W63" s="74"/>
      <c r="X63" s="74"/>
      <c r="Y63" s="74"/>
      <c r="Z63" s="74"/>
      <c r="AA63" s="74"/>
    </row>
    <row r="64" spans="1:27" ht="6" customHeight="1" outlineLevel="1" x14ac:dyDescent="0.25">
      <c r="A64" s="108"/>
      <c r="B64" s="93"/>
      <c r="C64" s="93"/>
      <c r="D64" s="93"/>
      <c r="E64" s="93"/>
      <c r="F64" s="93"/>
      <c r="G64" s="93"/>
      <c r="H64" s="93"/>
      <c r="I64" s="85"/>
      <c r="J64" s="85"/>
      <c r="K64" s="554"/>
      <c r="L64" s="554"/>
      <c r="M64" s="554"/>
      <c r="N64" s="554"/>
      <c r="O64" s="554"/>
      <c r="P64" s="554"/>
      <c r="Q64" s="554"/>
      <c r="V64" s="74"/>
      <c r="W64" s="74"/>
      <c r="X64" s="74"/>
      <c r="Y64" s="74"/>
      <c r="Z64" s="74"/>
      <c r="AA64" s="74"/>
    </row>
    <row r="65" spans="1:27" ht="15.75" x14ac:dyDescent="0.25">
      <c r="A65" s="108"/>
      <c r="B65" s="723" t="s">
        <v>884</v>
      </c>
      <c r="C65" s="723"/>
      <c r="D65" s="723"/>
      <c r="E65" s="723"/>
      <c r="F65" s="723"/>
      <c r="G65" s="723"/>
      <c r="H65" s="723"/>
      <c r="I65" s="85"/>
      <c r="J65" s="85"/>
      <c r="K65" s="562"/>
      <c r="L65" s="562"/>
      <c r="M65" s="562"/>
      <c r="N65" s="562"/>
      <c r="O65" s="562"/>
      <c r="P65" s="562"/>
      <c r="Q65" s="562"/>
    </row>
    <row r="66" spans="1:27" x14ac:dyDescent="0.25">
      <c r="A66" s="108"/>
      <c r="B66" s="25"/>
      <c r="C66" s="93" t="s">
        <v>366</v>
      </c>
      <c r="D66" s="644"/>
      <c r="E66" s="94" t="s">
        <v>628</v>
      </c>
      <c r="F66" s="27"/>
      <c r="G66" s="27"/>
      <c r="H66" s="73"/>
      <c r="I66" s="85"/>
      <c r="J66" s="85"/>
      <c r="K66" s="138"/>
      <c r="L66" s="554"/>
      <c r="M66" s="568"/>
      <c r="N66" s="556"/>
      <c r="O66" s="126"/>
      <c r="P66" s="126"/>
      <c r="Q66" s="108"/>
    </row>
    <row r="67" spans="1:27" x14ac:dyDescent="0.25">
      <c r="A67" s="108"/>
      <c r="B67" s="25"/>
      <c r="C67" s="93" t="s">
        <v>367</v>
      </c>
      <c r="D67" s="644"/>
      <c r="E67" s="94" t="s">
        <v>628</v>
      </c>
      <c r="F67" s="27"/>
      <c r="G67" s="27"/>
      <c r="H67" s="73"/>
      <c r="I67" s="85"/>
      <c r="J67" s="85"/>
      <c r="K67" s="138"/>
      <c r="L67" s="554"/>
      <c r="M67" s="568"/>
      <c r="N67" s="556"/>
      <c r="O67" s="126"/>
      <c r="P67" s="126"/>
      <c r="Q67" s="108"/>
    </row>
    <row r="68" spans="1:27" ht="30" x14ac:dyDescent="0.25">
      <c r="A68" s="108"/>
      <c r="B68" s="25"/>
      <c r="C68" s="93" t="s">
        <v>368</v>
      </c>
      <c r="D68" s="644"/>
      <c r="E68" s="94" t="s">
        <v>628</v>
      </c>
      <c r="F68" s="311" t="s">
        <v>379</v>
      </c>
      <c r="G68" s="670"/>
      <c r="H68" s="94"/>
      <c r="I68" s="85"/>
      <c r="J68" s="85"/>
      <c r="K68" s="138"/>
      <c r="L68" s="554"/>
      <c r="M68" s="568"/>
      <c r="N68" s="556"/>
      <c r="O68" s="560"/>
      <c r="P68" s="570"/>
      <c r="Q68" s="556"/>
    </row>
    <row r="69" spans="1:27" x14ac:dyDescent="0.25">
      <c r="A69" s="108"/>
      <c r="B69" s="25"/>
      <c r="C69" s="93" t="s">
        <v>369</v>
      </c>
      <c r="D69" s="644"/>
      <c r="E69" s="94" t="s">
        <v>628</v>
      </c>
      <c r="F69" s="27"/>
      <c r="G69" s="27"/>
      <c r="H69" s="73"/>
      <c r="I69" s="85"/>
      <c r="J69" s="85"/>
      <c r="K69" s="138"/>
      <c r="L69" s="554"/>
      <c r="M69" s="568"/>
      <c r="N69" s="556"/>
      <c r="O69" s="126"/>
      <c r="P69" s="126"/>
      <c r="Q69" s="108"/>
    </row>
    <row r="70" spans="1:27" x14ac:dyDescent="0.25">
      <c r="A70" s="108"/>
      <c r="B70" s="25"/>
      <c r="C70" s="93" t="s">
        <v>370</v>
      </c>
      <c r="D70" s="644"/>
      <c r="E70" s="94" t="s">
        <v>628</v>
      </c>
      <c r="F70" s="27"/>
      <c r="G70" s="27"/>
      <c r="H70" s="73"/>
      <c r="I70" s="85"/>
      <c r="J70" s="85"/>
      <c r="K70" s="138"/>
      <c r="L70" s="554"/>
      <c r="M70" s="568"/>
      <c r="N70" s="556"/>
      <c r="O70" s="126"/>
      <c r="P70" s="126"/>
      <c r="Q70" s="108"/>
    </row>
    <row r="71" spans="1:27" x14ac:dyDescent="0.25">
      <c r="A71" s="108"/>
      <c r="B71" s="25"/>
      <c r="C71" s="93" t="s">
        <v>371</v>
      </c>
      <c r="D71" s="644"/>
      <c r="E71" s="94" t="s">
        <v>628</v>
      </c>
      <c r="F71" s="27"/>
      <c r="G71" s="27"/>
      <c r="H71" s="73"/>
      <c r="I71" s="85"/>
      <c r="J71" s="85"/>
      <c r="K71" s="138"/>
      <c r="L71" s="554"/>
      <c r="M71" s="568"/>
      <c r="N71" s="556"/>
      <c r="O71" s="126"/>
      <c r="P71" s="126"/>
      <c r="Q71" s="108"/>
    </row>
    <row r="72" spans="1:27" x14ac:dyDescent="0.25">
      <c r="A72" s="108"/>
      <c r="B72" s="25"/>
      <c r="C72" s="93" t="s">
        <v>467</v>
      </c>
      <c r="D72" s="644"/>
      <c r="E72" s="94" t="s">
        <v>628</v>
      </c>
      <c r="F72" s="27"/>
      <c r="G72" s="27"/>
      <c r="H72" s="73"/>
      <c r="I72" s="85"/>
      <c r="J72" s="85"/>
      <c r="K72" s="138"/>
      <c r="L72" s="554"/>
      <c r="M72" s="568"/>
      <c r="N72" s="556"/>
      <c r="O72" s="126"/>
      <c r="P72" s="126"/>
      <c r="Q72" s="108"/>
    </row>
    <row r="73" spans="1:27" x14ac:dyDescent="0.25">
      <c r="A73" s="108"/>
      <c r="B73" s="25"/>
      <c r="C73" s="93" t="s">
        <v>46</v>
      </c>
      <c r="D73" s="644"/>
      <c r="E73" s="94" t="s">
        <v>628</v>
      </c>
      <c r="F73" s="27"/>
      <c r="G73" s="27"/>
      <c r="H73" s="73"/>
      <c r="I73" s="85"/>
      <c r="J73" s="85"/>
      <c r="K73" s="138"/>
      <c r="L73" s="554"/>
      <c r="M73" s="568"/>
      <c r="N73" s="556"/>
      <c r="O73" s="126"/>
      <c r="P73" s="126"/>
      <c r="Q73" s="108"/>
    </row>
    <row r="74" spans="1:27" x14ac:dyDescent="0.25">
      <c r="A74" s="108"/>
      <c r="B74" s="25"/>
      <c r="C74" s="93" t="s">
        <v>468</v>
      </c>
      <c r="D74" s="644"/>
      <c r="E74" s="94" t="s">
        <v>310</v>
      </c>
      <c r="F74" s="27"/>
      <c r="G74" s="39"/>
      <c r="H74" s="73"/>
      <c r="I74" s="85"/>
      <c r="J74" s="85"/>
      <c r="K74" s="138"/>
      <c r="L74" s="554"/>
      <c r="M74" s="568"/>
      <c r="N74" s="556"/>
      <c r="O74" s="126"/>
      <c r="P74" s="571"/>
      <c r="Q74" s="108"/>
    </row>
    <row r="75" spans="1:27" x14ac:dyDescent="0.25">
      <c r="A75" s="108"/>
      <c r="B75" s="25"/>
      <c r="C75" s="93" t="s">
        <v>469</v>
      </c>
      <c r="D75" s="644"/>
      <c r="E75" s="94" t="s">
        <v>310</v>
      </c>
      <c r="F75" s="27"/>
      <c r="G75" s="39"/>
      <c r="H75" s="73"/>
      <c r="I75" s="85"/>
      <c r="J75" s="85"/>
      <c r="K75" s="138"/>
      <c r="L75" s="554"/>
      <c r="M75" s="568"/>
      <c r="N75" s="556"/>
      <c r="O75" s="126"/>
      <c r="P75" s="571"/>
      <c r="Q75" s="108"/>
    </row>
    <row r="76" spans="1:27" x14ac:dyDescent="0.25">
      <c r="A76" s="108"/>
      <c r="B76" s="25"/>
      <c r="C76" s="93" t="s">
        <v>103</v>
      </c>
      <c r="D76" s="644"/>
      <c r="E76" s="94" t="s">
        <v>310</v>
      </c>
      <c r="F76" s="27"/>
      <c r="G76" s="39"/>
      <c r="H76" s="73"/>
      <c r="I76" s="85"/>
      <c r="J76" s="85"/>
      <c r="K76" s="138"/>
      <c r="L76" s="554"/>
      <c r="M76" s="568"/>
      <c r="N76" s="556"/>
      <c r="O76" s="126"/>
      <c r="P76" s="571"/>
      <c r="Q76" s="108"/>
    </row>
    <row r="77" spans="1:27" x14ac:dyDescent="0.25">
      <c r="A77" s="108"/>
      <c r="B77" s="25"/>
      <c r="C77" s="93" t="s">
        <v>95</v>
      </c>
      <c r="D77" s="644"/>
      <c r="E77" s="94" t="s">
        <v>628</v>
      </c>
      <c r="F77" s="27"/>
      <c r="G77" s="39"/>
      <c r="H77" s="73"/>
      <c r="I77" s="85"/>
      <c r="J77" s="85"/>
      <c r="K77" s="138"/>
      <c r="L77" s="554"/>
      <c r="M77" s="568"/>
      <c r="N77" s="556"/>
      <c r="O77" s="126"/>
      <c r="P77" s="571"/>
      <c r="Q77" s="108"/>
    </row>
    <row r="78" spans="1:27" x14ac:dyDescent="0.25">
      <c r="A78" s="108"/>
      <c r="B78" s="25"/>
      <c r="C78" s="93" t="s">
        <v>636</v>
      </c>
      <c r="D78" s="644"/>
      <c r="E78" s="94" t="s">
        <v>627</v>
      </c>
      <c r="F78" s="27"/>
      <c r="G78" s="39"/>
      <c r="H78" s="73"/>
      <c r="I78" s="85"/>
      <c r="J78" s="85"/>
      <c r="K78" s="138"/>
      <c r="L78" s="554"/>
      <c r="M78" s="568"/>
      <c r="N78" s="556"/>
      <c r="O78" s="126"/>
      <c r="P78" s="571"/>
      <c r="Q78" s="108"/>
    </row>
    <row r="79" spans="1:27" ht="6" customHeight="1" x14ac:dyDescent="0.25">
      <c r="A79" s="108"/>
      <c r="B79" s="25"/>
      <c r="C79" s="73"/>
      <c r="D79" s="25"/>
      <c r="E79" s="73"/>
      <c r="F79" s="27"/>
      <c r="G79" s="39"/>
      <c r="H79" s="73"/>
      <c r="I79" s="85"/>
      <c r="J79" s="85"/>
      <c r="K79" s="138"/>
      <c r="L79" s="108"/>
      <c r="M79" s="138"/>
      <c r="N79" s="108"/>
      <c r="O79" s="126"/>
      <c r="P79" s="571"/>
      <c r="Q79" s="108"/>
    </row>
    <row r="80" spans="1:27" x14ac:dyDescent="0.25">
      <c r="A80" s="108"/>
      <c r="B80" s="108"/>
      <c r="C80" s="108"/>
      <c r="D80" s="108"/>
      <c r="E80" s="108"/>
      <c r="F80" s="108"/>
      <c r="G80" s="108"/>
      <c r="H80" s="108"/>
      <c r="I80" s="85"/>
      <c r="J80" s="108"/>
      <c r="K80" s="85"/>
      <c r="L80" s="85"/>
      <c r="M80" s="85"/>
      <c r="N80" s="85"/>
      <c r="O80" s="85"/>
      <c r="P80" s="85"/>
      <c r="Q80" s="85"/>
      <c r="R80" s="85"/>
      <c r="S80" s="85"/>
      <c r="T80" s="85"/>
      <c r="U80" s="85"/>
      <c r="V80" s="85"/>
      <c r="W80" s="85"/>
      <c r="X80" s="85"/>
      <c r="Y80" s="85"/>
      <c r="Z80" s="85"/>
      <c r="AA80" s="85"/>
    </row>
    <row r="81" spans="1:27" ht="18.75" x14ac:dyDescent="0.25">
      <c r="A81" s="108"/>
      <c r="B81" s="732" t="s">
        <v>191</v>
      </c>
      <c r="C81" s="732"/>
      <c r="D81" s="732"/>
      <c r="E81" s="732"/>
      <c r="F81" s="732"/>
      <c r="G81" s="732"/>
      <c r="H81" s="732"/>
      <c r="I81" s="85"/>
      <c r="J81" s="85"/>
      <c r="K81" s="85"/>
      <c r="L81" s="85"/>
      <c r="M81" s="85"/>
      <c r="N81" s="85"/>
      <c r="O81" s="85"/>
      <c r="P81" s="85"/>
      <c r="Q81" s="85"/>
      <c r="R81" s="85"/>
      <c r="S81" s="85"/>
      <c r="T81" s="85"/>
      <c r="U81" s="85"/>
      <c r="V81" s="85"/>
      <c r="W81" s="85"/>
      <c r="X81" s="85"/>
      <c r="Y81" s="85"/>
      <c r="Z81" s="85"/>
      <c r="AA81" s="85"/>
    </row>
    <row r="82" spans="1:27" ht="15.75" x14ac:dyDescent="0.25">
      <c r="A82" s="108"/>
      <c r="B82" s="731" t="s">
        <v>383</v>
      </c>
      <c r="C82" s="731"/>
      <c r="D82" s="731"/>
      <c r="E82" s="731"/>
      <c r="F82" s="731"/>
      <c r="G82" s="731"/>
      <c r="H82" s="731"/>
      <c r="I82" s="85"/>
      <c r="J82" s="85"/>
      <c r="K82" s="85"/>
      <c r="L82" s="85"/>
      <c r="M82" s="85"/>
      <c r="N82" s="85"/>
      <c r="O82" s="85"/>
      <c r="P82" s="85"/>
      <c r="Q82" s="85"/>
      <c r="R82" s="85"/>
      <c r="S82" s="85"/>
      <c r="T82" s="85"/>
      <c r="U82" s="85"/>
      <c r="V82" s="85"/>
      <c r="W82" s="85"/>
      <c r="X82" s="85"/>
      <c r="Y82" s="85"/>
      <c r="Z82" s="85"/>
      <c r="AA82" s="85"/>
    </row>
    <row r="83" spans="1:27" x14ac:dyDescent="0.25">
      <c r="A83" s="108"/>
      <c r="B83" s="93"/>
      <c r="C83" s="93" t="s">
        <v>747</v>
      </c>
      <c r="D83" s="644"/>
      <c r="E83" s="94" t="s">
        <v>761</v>
      </c>
      <c r="F83" s="141" t="s">
        <v>134</v>
      </c>
      <c r="G83" s="670"/>
      <c r="H83" s="309"/>
      <c r="I83" s="85"/>
      <c r="J83" s="85"/>
      <c r="K83" s="85"/>
      <c r="L83" s="85"/>
      <c r="M83" s="85"/>
      <c r="N83" s="85"/>
      <c r="O83" s="85"/>
      <c r="P83" s="85"/>
      <c r="Q83" s="85"/>
      <c r="R83" s="85"/>
      <c r="S83" s="85"/>
      <c r="T83" s="85"/>
      <c r="U83" s="85"/>
      <c r="V83" s="85"/>
      <c r="W83" s="85"/>
      <c r="X83" s="85"/>
      <c r="Y83" s="85"/>
      <c r="Z83" s="85"/>
      <c r="AA83" s="85"/>
    </row>
    <row r="84" spans="1:27" x14ac:dyDescent="0.25">
      <c r="A84" s="108"/>
      <c r="B84" s="93"/>
      <c r="C84" s="93" t="s">
        <v>616</v>
      </c>
      <c r="D84" s="644"/>
      <c r="E84" s="94" t="s">
        <v>258</v>
      </c>
      <c r="F84" s="415"/>
      <c r="G84" s="415"/>
      <c r="H84" s="57"/>
      <c r="I84" s="85"/>
      <c r="J84" s="85"/>
      <c r="K84" s="85"/>
      <c r="L84" s="85"/>
      <c r="M84" s="85"/>
      <c r="N84" s="85"/>
      <c r="O84" s="85"/>
      <c r="P84" s="85"/>
      <c r="Q84" s="85"/>
      <c r="R84" s="85"/>
      <c r="S84" s="85"/>
      <c r="T84" s="85"/>
      <c r="U84" s="85"/>
      <c r="V84" s="85"/>
      <c r="W84" s="85"/>
      <c r="X84" s="85"/>
      <c r="Y84" s="85"/>
      <c r="Z84" s="85"/>
      <c r="AA84" s="85"/>
    </row>
    <row r="85" spans="1:27" x14ac:dyDescent="0.25">
      <c r="A85" s="108"/>
      <c r="B85" s="25"/>
      <c r="C85" s="93" t="s">
        <v>618</v>
      </c>
      <c r="D85" s="644"/>
      <c r="E85" s="94" t="s">
        <v>624</v>
      </c>
      <c r="F85" s="415"/>
      <c r="G85" s="415"/>
      <c r="H85" s="57"/>
      <c r="I85" s="85"/>
      <c r="J85" s="85"/>
      <c r="K85" s="85"/>
      <c r="L85" s="85"/>
      <c r="M85" s="85"/>
      <c r="N85" s="85"/>
      <c r="O85" s="85"/>
      <c r="P85" s="85"/>
      <c r="Q85" s="85"/>
      <c r="R85" s="85"/>
      <c r="S85" s="85"/>
      <c r="T85" s="85"/>
      <c r="U85" s="85"/>
      <c r="V85" s="85"/>
      <c r="W85" s="85"/>
      <c r="X85" s="85"/>
      <c r="Y85" s="85"/>
      <c r="Z85" s="85"/>
      <c r="AA85" s="85"/>
    </row>
    <row r="86" spans="1:27" x14ac:dyDescent="0.25">
      <c r="A86" s="108"/>
      <c r="B86" s="25"/>
      <c r="C86" s="93" t="s">
        <v>617</v>
      </c>
      <c r="D86" s="644"/>
      <c r="E86" s="94" t="s">
        <v>624</v>
      </c>
      <c r="F86" s="415"/>
      <c r="G86" s="415"/>
      <c r="H86" s="57"/>
      <c r="I86" s="85"/>
      <c r="J86" s="85"/>
      <c r="K86" s="85"/>
      <c r="L86" s="85"/>
      <c r="M86" s="85"/>
      <c r="N86" s="85"/>
      <c r="O86" s="85"/>
      <c r="P86" s="85"/>
      <c r="Q86" s="85"/>
      <c r="R86" s="85"/>
      <c r="S86" s="85"/>
      <c r="T86" s="85"/>
      <c r="U86" s="85"/>
      <c r="V86" s="85"/>
      <c r="W86" s="85"/>
      <c r="X86" s="85"/>
      <c r="Y86" s="85"/>
      <c r="Z86" s="85"/>
      <c r="AA86" s="85"/>
    </row>
    <row r="87" spans="1:27" x14ac:dyDescent="0.25">
      <c r="A87" s="108"/>
      <c r="B87" s="25"/>
      <c r="C87" s="93" t="s">
        <v>988</v>
      </c>
      <c r="D87" s="644"/>
      <c r="E87" s="94" t="s">
        <v>625</v>
      </c>
      <c r="F87" s="415"/>
      <c r="G87" s="415"/>
      <c r="H87" s="57"/>
      <c r="I87" s="85"/>
      <c r="J87" s="85"/>
      <c r="K87" s="85"/>
      <c r="L87" s="85"/>
      <c r="M87" s="85"/>
      <c r="N87" s="85"/>
      <c r="O87" s="85"/>
      <c r="P87" s="85"/>
      <c r="Q87" s="85"/>
      <c r="R87" s="85"/>
      <c r="S87" s="85"/>
      <c r="T87" s="85"/>
      <c r="U87" s="85"/>
      <c r="V87" s="85"/>
      <c r="W87" s="85"/>
      <c r="X87" s="85"/>
      <c r="Y87" s="85"/>
      <c r="Z87" s="85"/>
      <c r="AA87" s="85"/>
    </row>
    <row r="88" spans="1:27" x14ac:dyDescent="0.25">
      <c r="A88" s="108"/>
      <c r="B88" s="25"/>
      <c r="C88" s="93" t="s">
        <v>620</v>
      </c>
      <c r="D88" s="644"/>
      <c r="E88" s="94" t="s">
        <v>626</v>
      </c>
      <c r="F88" s="141" t="s">
        <v>134</v>
      </c>
      <c r="G88" s="670"/>
      <c r="H88" s="57"/>
      <c r="I88" s="85"/>
      <c r="J88" s="85"/>
      <c r="K88" s="85"/>
      <c r="L88" s="85"/>
      <c r="M88" s="85"/>
      <c r="N88" s="85"/>
      <c r="O88" s="85"/>
      <c r="P88" s="85"/>
      <c r="Q88" s="85"/>
      <c r="R88" s="85"/>
      <c r="S88" s="85"/>
      <c r="T88" s="85"/>
      <c r="U88" s="85"/>
      <c r="V88" s="85"/>
      <c r="W88" s="85"/>
      <c r="X88" s="85"/>
      <c r="Y88" s="85"/>
      <c r="Z88" s="85"/>
      <c r="AA88" s="85"/>
    </row>
    <row r="89" spans="1:27" x14ac:dyDescent="0.25">
      <c r="A89" s="108"/>
      <c r="B89" s="25"/>
      <c r="C89" s="93" t="s">
        <v>621</v>
      </c>
      <c r="D89" s="644"/>
      <c r="E89" s="94" t="s">
        <v>626</v>
      </c>
      <c r="F89" s="141" t="s">
        <v>134</v>
      </c>
      <c r="G89" s="670"/>
      <c r="H89" s="57"/>
      <c r="I89" s="85"/>
      <c r="J89" s="85"/>
      <c r="K89" s="85"/>
      <c r="L89" s="85"/>
      <c r="M89" s="85"/>
      <c r="N89" s="85"/>
      <c r="O89" s="85"/>
      <c r="P89" s="85"/>
      <c r="Q89" s="85"/>
      <c r="R89" s="85"/>
      <c r="S89" s="85"/>
      <c r="T89" s="85"/>
      <c r="U89" s="85"/>
      <c r="V89" s="85"/>
      <c r="W89" s="85"/>
      <c r="X89" s="85"/>
      <c r="Y89" s="85"/>
      <c r="Z89" s="85"/>
      <c r="AA89" s="85"/>
    </row>
    <row r="90" spans="1:27" x14ac:dyDescent="0.25">
      <c r="A90" s="108"/>
      <c r="B90" s="25"/>
      <c r="C90" s="93" t="s">
        <v>622</v>
      </c>
      <c r="D90" s="644"/>
      <c r="E90" s="94" t="s">
        <v>626</v>
      </c>
      <c r="F90" s="141" t="s">
        <v>134</v>
      </c>
      <c r="G90" s="670"/>
      <c r="H90" s="57"/>
      <c r="I90" s="85"/>
      <c r="J90" s="85"/>
      <c r="K90" s="85"/>
      <c r="L90" s="85"/>
      <c r="M90" s="85"/>
      <c r="N90" s="85"/>
      <c r="O90" s="85"/>
      <c r="P90" s="85"/>
      <c r="Q90" s="85"/>
      <c r="R90" s="85"/>
      <c r="S90" s="85"/>
      <c r="T90" s="85"/>
      <c r="U90" s="85"/>
      <c r="V90" s="85"/>
      <c r="W90" s="85"/>
      <c r="X90" s="85"/>
      <c r="Y90" s="85"/>
      <c r="Z90" s="85"/>
      <c r="AA90" s="85"/>
    </row>
    <row r="91" spans="1:27" x14ac:dyDescent="0.25">
      <c r="A91" s="108"/>
      <c r="B91" s="25"/>
      <c r="C91" s="93" t="s">
        <v>623</v>
      </c>
      <c r="D91" s="644"/>
      <c r="E91" s="94" t="s">
        <v>626</v>
      </c>
      <c r="F91" s="141" t="s">
        <v>134</v>
      </c>
      <c r="G91" s="670"/>
      <c r="H91" s="57"/>
      <c r="I91" s="85"/>
      <c r="J91" s="85"/>
      <c r="K91" s="85"/>
      <c r="L91" s="85"/>
      <c r="M91" s="85"/>
      <c r="N91" s="85"/>
      <c r="O91" s="85"/>
      <c r="P91" s="85"/>
      <c r="Q91" s="85"/>
      <c r="R91" s="85"/>
      <c r="S91" s="85"/>
      <c r="T91" s="85"/>
      <c r="U91" s="85"/>
      <c r="V91" s="85"/>
      <c r="W91" s="85"/>
      <c r="X91" s="85"/>
      <c r="Y91" s="85"/>
      <c r="Z91" s="85"/>
      <c r="AA91" s="85"/>
    </row>
    <row r="92" spans="1:27" x14ac:dyDescent="0.25">
      <c r="A92" s="108"/>
      <c r="B92" s="25"/>
      <c r="C92" s="93" t="s">
        <v>619</v>
      </c>
      <c r="D92" s="644"/>
      <c r="E92" s="94" t="s">
        <v>626</v>
      </c>
      <c r="F92" s="56"/>
      <c r="G92" s="56"/>
      <c r="H92" s="57"/>
      <c r="I92" s="85"/>
      <c r="J92" s="85"/>
      <c r="K92" s="85"/>
      <c r="L92" s="85"/>
      <c r="M92" s="85"/>
      <c r="N92" s="85"/>
      <c r="O92" s="85"/>
      <c r="P92" s="85"/>
      <c r="Q92" s="85"/>
      <c r="R92" s="85"/>
      <c r="S92" s="85"/>
      <c r="T92" s="85"/>
      <c r="U92" s="85"/>
      <c r="V92" s="85"/>
      <c r="W92" s="85"/>
      <c r="X92" s="85"/>
      <c r="Y92" s="85"/>
      <c r="Z92" s="85"/>
      <c r="AA92" s="85"/>
    </row>
    <row r="93" spans="1:27" ht="6" customHeight="1" x14ac:dyDescent="0.25">
      <c r="A93" s="108"/>
      <c r="B93" s="25"/>
      <c r="C93" s="57"/>
      <c r="D93" s="29"/>
      <c r="E93" s="29"/>
      <c r="F93" s="56"/>
      <c r="G93" s="56"/>
      <c r="H93" s="57"/>
      <c r="I93" s="85"/>
      <c r="J93" s="85"/>
      <c r="K93" s="85"/>
      <c r="L93" s="85"/>
      <c r="M93" s="85"/>
      <c r="N93" s="85"/>
      <c r="O93" s="85"/>
      <c r="P93" s="85"/>
      <c r="Q93" s="85"/>
      <c r="R93" s="85"/>
      <c r="S93" s="85"/>
      <c r="T93" s="85"/>
      <c r="U93" s="85"/>
      <c r="V93" s="85"/>
      <c r="W93" s="85"/>
      <c r="X93" s="85"/>
      <c r="Y93" s="85"/>
      <c r="Z93" s="85"/>
      <c r="AA93" s="85"/>
    </row>
    <row r="94" spans="1:27" ht="15.75" x14ac:dyDescent="0.25">
      <c r="A94" s="108"/>
      <c r="B94" s="731" t="s">
        <v>243</v>
      </c>
      <c r="C94" s="731"/>
      <c r="D94" s="731"/>
      <c r="E94" s="731"/>
      <c r="F94" s="731"/>
      <c r="G94" s="731"/>
      <c r="H94" s="731"/>
      <c r="I94" s="85"/>
      <c r="J94" s="85"/>
      <c r="K94" s="85"/>
      <c r="L94" s="85"/>
      <c r="M94" s="85"/>
      <c r="N94" s="85"/>
      <c r="O94" s="85"/>
      <c r="P94" s="85"/>
      <c r="Q94" s="85"/>
      <c r="R94" s="85"/>
      <c r="S94" s="85"/>
      <c r="T94" s="85"/>
      <c r="U94" s="85"/>
      <c r="V94" s="85"/>
      <c r="W94" s="85"/>
      <c r="X94" s="85"/>
      <c r="Y94" s="85"/>
      <c r="Z94" s="85"/>
      <c r="AA94" s="85"/>
    </row>
    <row r="95" spans="1:27" x14ac:dyDescent="0.25">
      <c r="A95" s="108"/>
      <c r="B95" s="54"/>
      <c r="C95" s="93" t="s">
        <v>636</v>
      </c>
      <c r="D95" s="644"/>
      <c r="E95" s="94" t="s">
        <v>627</v>
      </c>
      <c r="F95" s="229"/>
      <c r="G95" s="229"/>
      <c r="H95" s="64"/>
      <c r="I95" s="85"/>
      <c r="J95" s="85"/>
      <c r="K95" s="85"/>
      <c r="L95" s="85"/>
      <c r="M95" s="85"/>
      <c r="N95" s="85"/>
      <c r="O95" s="85"/>
      <c r="P95" s="85"/>
      <c r="Q95" s="85"/>
      <c r="R95" s="85"/>
      <c r="S95" s="85"/>
      <c r="T95" s="85"/>
      <c r="U95" s="85"/>
      <c r="V95" s="85"/>
      <c r="W95" s="85"/>
      <c r="X95" s="85"/>
      <c r="Y95" s="85"/>
      <c r="Z95" s="85"/>
      <c r="AA95" s="85"/>
    </row>
    <row r="96" spans="1:27" x14ac:dyDescent="0.25">
      <c r="A96" s="108"/>
      <c r="B96" s="54"/>
      <c r="C96" s="93" t="s">
        <v>366</v>
      </c>
      <c r="D96" s="644"/>
      <c r="E96" s="94" t="s">
        <v>628</v>
      </c>
      <c r="F96" s="229"/>
      <c r="G96" s="229"/>
      <c r="H96" s="64"/>
      <c r="I96" s="85"/>
      <c r="J96" s="85"/>
      <c r="K96" s="85"/>
      <c r="L96" s="85"/>
      <c r="M96" s="85"/>
      <c r="N96" s="85"/>
      <c r="O96" s="85"/>
      <c r="P96" s="85"/>
      <c r="Q96" s="85"/>
      <c r="R96" s="85"/>
      <c r="S96" s="85"/>
      <c r="T96" s="85"/>
      <c r="U96" s="85"/>
      <c r="V96" s="85"/>
      <c r="W96" s="85"/>
      <c r="X96" s="85"/>
      <c r="Y96" s="85"/>
      <c r="Z96" s="85"/>
      <c r="AA96" s="85"/>
    </row>
    <row r="97" spans="1:27" x14ac:dyDescent="0.25">
      <c r="A97" s="108"/>
      <c r="B97" s="54"/>
      <c r="C97" s="93" t="s">
        <v>367</v>
      </c>
      <c r="D97" s="644"/>
      <c r="E97" s="94" t="s">
        <v>628</v>
      </c>
      <c r="F97" s="229"/>
      <c r="G97" s="229"/>
      <c r="H97" s="64"/>
      <c r="I97" s="85"/>
      <c r="J97" s="85"/>
      <c r="K97" s="85"/>
      <c r="L97" s="85"/>
      <c r="M97" s="85"/>
      <c r="N97" s="85"/>
      <c r="O97" s="85"/>
      <c r="P97" s="85"/>
      <c r="Q97" s="85"/>
      <c r="R97" s="85"/>
      <c r="S97" s="85"/>
      <c r="T97" s="85"/>
      <c r="U97" s="85"/>
      <c r="V97" s="85"/>
      <c r="W97" s="85"/>
      <c r="X97" s="85"/>
      <c r="Y97" s="85"/>
      <c r="Z97" s="85"/>
      <c r="AA97" s="85"/>
    </row>
    <row r="98" spans="1:27" ht="30" x14ac:dyDescent="0.25">
      <c r="A98" s="108"/>
      <c r="B98" s="54"/>
      <c r="C98" s="93" t="s">
        <v>368</v>
      </c>
      <c r="D98" s="644"/>
      <c r="E98" s="94" t="s">
        <v>628</v>
      </c>
      <c r="F98" s="311" t="s">
        <v>379</v>
      </c>
      <c r="G98" s="670"/>
      <c r="H98" s="64"/>
      <c r="I98" s="85"/>
      <c r="J98" s="85"/>
      <c r="K98" s="85"/>
      <c r="L98" s="85"/>
      <c r="M98" s="85"/>
      <c r="N98" s="85"/>
      <c r="O98" s="85"/>
      <c r="P98" s="85"/>
      <c r="Q98" s="85"/>
      <c r="R98" s="85"/>
      <c r="S98" s="85"/>
      <c r="T98" s="85"/>
      <c r="U98" s="85"/>
      <c r="V98" s="85"/>
      <c r="W98" s="85"/>
      <c r="X98" s="85"/>
      <c r="Y98" s="85"/>
      <c r="Z98" s="85"/>
      <c r="AA98" s="85"/>
    </row>
    <row r="99" spans="1:27" x14ac:dyDescent="0.25">
      <c r="A99" s="108"/>
      <c r="B99" s="54"/>
      <c r="C99" s="93" t="s">
        <v>369</v>
      </c>
      <c r="D99" s="644"/>
      <c r="E99" s="94" t="s">
        <v>628</v>
      </c>
      <c r="F99" s="229"/>
      <c r="G99" s="229"/>
      <c r="H99" s="64"/>
      <c r="I99" s="85"/>
      <c r="J99" s="85"/>
      <c r="K99" s="85"/>
      <c r="L99" s="85"/>
      <c r="M99" s="85"/>
      <c r="N99" s="85"/>
      <c r="O99" s="85"/>
      <c r="P99" s="85"/>
      <c r="Q99" s="85"/>
      <c r="R99" s="85"/>
      <c r="S99" s="85"/>
      <c r="T99" s="85"/>
      <c r="U99" s="85"/>
      <c r="V99" s="85"/>
      <c r="W99" s="85"/>
      <c r="X99" s="85"/>
      <c r="Y99" s="85"/>
      <c r="Z99" s="85"/>
      <c r="AA99" s="85"/>
    </row>
    <row r="100" spans="1:27" x14ac:dyDescent="0.25">
      <c r="A100" s="108"/>
      <c r="B100" s="54"/>
      <c r="C100" s="93" t="s">
        <v>370</v>
      </c>
      <c r="D100" s="644"/>
      <c r="E100" s="94" t="s">
        <v>628</v>
      </c>
      <c r="F100" s="229"/>
      <c r="G100" s="229"/>
      <c r="H100" s="64"/>
      <c r="I100" s="85"/>
      <c r="J100" s="85"/>
      <c r="K100" s="85"/>
      <c r="L100" s="85"/>
      <c r="M100" s="85"/>
      <c r="N100" s="85"/>
      <c r="O100" s="85"/>
      <c r="P100" s="85"/>
      <c r="Q100" s="85"/>
      <c r="R100" s="85"/>
      <c r="S100" s="85"/>
      <c r="T100" s="85"/>
      <c r="U100" s="85"/>
      <c r="V100" s="85"/>
      <c r="W100" s="85"/>
      <c r="X100" s="85"/>
      <c r="Y100" s="85"/>
      <c r="Z100" s="85"/>
      <c r="AA100" s="85"/>
    </row>
    <row r="101" spans="1:27" x14ac:dyDescent="0.25">
      <c r="A101" s="108"/>
      <c r="B101" s="54"/>
      <c r="C101" s="93" t="s">
        <v>371</v>
      </c>
      <c r="D101" s="644"/>
      <c r="E101" s="94" t="s">
        <v>628</v>
      </c>
      <c r="F101" s="229"/>
      <c r="G101" s="229"/>
      <c r="H101" s="64"/>
      <c r="I101" s="85"/>
      <c r="J101" s="85"/>
      <c r="K101" s="85"/>
      <c r="L101" s="85"/>
      <c r="M101" s="85"/>
      <c r="N101" s="85"/>
      <c r="O101" s="85"/>
      <c r="P101" s="85"/>
      <c r="Q101" s="85"/>
      <c r="R101" s="85"/>
      <c r="S101" s="85"/>
      <c r="T101" s="85"/>
      <c r="U101" s="85"/>
      <c r="V101" s="85"/>
      <c r="W101" s="85"/>
      <c r="X101" s="85"/>
      <c r="Y101" s="85"/>
      <c r="Z101" s="85"/>
      <c r="AA101" s="85"/>
    </row>
    <row r="102" spans="1:27" x14ac:dyDescent="0.25">
      <c r="A102" s="108"/>
      <c r="B102" s="54"/>
      <c r="C102" s="93" t="s">
        <v>845</v>
      </c>
      <c r="D102" s="644"/>
      <c r="E102" s="94" t="s">
        <v>628</v>
      </c>
      <c r="F102" s="229"/>
      <c r="G102" s="229"/>
      <c r="H102" s="64"/>
      <c r="I102" s="85"/>
      <c r="J102" s="85"/>
      <c r="K102" s="85"/>
      <c r="L102" s="85"/>
      <c r="M102" s="85"/>
      <c r="N102" s="85"/>
      <c r="O102" s="85"/>
      <c r="P102" s="85"/>
      <c r="Q102" s="85"/>
      <c r="R102" s="85"/>
      <c r="S102" s="85"/>
      <c r="T102" s="85"/>
      <c r="U102" s="85"/>
      <c r="V102" s="85"/>
      <c r="W102" s="85"/>
      <c r="X102" s="85"/>
      <c r="Y102" s="85"/>
      <c r="Z102" s="85"/>
      <c r="AA102" s="85"/>
    </row>
    <row r="103" spans="1:27" x14ac:dyDescent="0.25">
      <c r="A103" s="108"/>
      <c r="B103" s="54"/>
      <c r="C103" s="93" t="s">
        <v>846</v>
      </c>
      <c r="D103" s="644"/>
      <c r="E103" s="94" t="s">
        <v>628</v>
      </c>
      <c r="F103" s="229"/>
      <c r="G103" s="229"/>
      <c r="H103" s="64"/>
      <c r="I103" s="85"/>
      <c r="J103" s="85"/>
      <c r="K103" s="85"/>
      <c r="L103" s="85"/>
      <c r="M103" s="85"/>
      <c r="N103" s="85"/>
      <c r="O103" s="85"/>
      <c r="P103" s="85"/>
      <c r="Q103" s="85"/>
      <c r="R103" s="85"/>
      <c r="S103" s="85"/>
      <c r="T103" s="85"/>
      <c r="U103" s="85"/>
      <c r="V103" s="85"/>
      <c r="W103" s="85"/>
      <c r="X103" s="85"/>
      <c r="Y103" s="85"/>
      <c r="Z103" s="85"/>
      <c r="AA103" s="85"/>
    </row>
    <row r="104" spans="1:27" x14ac:dyDescent="0.25">
      <c r="A104" s="108"/>
      <c r="B104" s="54"/>
      <c r="C104" s="93" t="s">
        <v>847</v>
      </c>
      <c r="D104" s="644"/>
      <c r="E104" s="94" t="s">
        <v>628</v>
      </c>
      <c r="F104" s="229"/>
      <c r="G104" s="229"/>
      <c r="H104" s="64"/>
      <c r="I104" s="85"/>
      <c r="J104" s="85"/>
      <c r="K104" s="85"/>
      <c r="L104" s="85"/>
      <c r="M104" s="85"/>
      <c r="N104" s="85"/>
      <c r="O104" s="85"/>
      <c r="P104" s="85"/>
      <c r="Q104" s="85"/>
      <c r="R104" s="85"/>
      <c r="S104" s="85"/>
      <c r="T104" s="85"/>
      <c r="U104" s="85"/>
      <c r="V104" s="85"/>
      <c r="W104" s="85"/>
      <c r="X104" s="85"/>
      <c r="Y104" s="85"/>
      <c r="Z104" s="85"/>
      <c r="AA104" s="85"/>
    </row>
    <row r="105" spans="1:27" x14ac:dyDescent="0.25">
      <c r="A105" s="108"/>
      <c r="B105" s="54"/>
      <c r="C105" s="93" t="s">
        <v>923</v>
      </c>
      <c r="D105" s="644"/>
      <c r="E105" s="94" t="s">
        <v>310</v>
      </c>
      <c r="F105" s="141" t="s">
        <v>924</v>
      </c>
      <c r="G105" s="646"/>
      <c r="H105" s="410" t="s">
        <v>709</v>
      </c>
      <c r="I105" s="85"/>
      <c r="J105" s="85"/>
      <c r="K105" s="85"/>
      <c r="L105" s="85"/>
      <c r="M105" s="85"/>
      <c r="N105" s="85"/>
      <c r="O105" s="85"/>
      <c r="P105" s="85"/>
      <c r="Q105" s="85"/>
      <c r="R105" s="85"/>
      <c r="S105" s="85"/>
      <c r="T105" s="85"/>
      <c r="U105" s="85"/>
      <c r="V105" s="85"/>
      <c r="W105" s="85"/>
      <c r="X105" s="85"/>
      <c r="Y105" s="85"/>
      <c r="Z105" s="85"/>
      <c r="AA105" s="85"/>
    </row>
    <row r="106" spans="1:27" x14ac:dyDescent="0.25">
      <c r="A106" s="108"/>
      <c r="B106" s="54"/>
      <c r="C106" s="93" t="s">
        <v>922</v>
      </c>
      <c r="D106" s="644"/>
      <c r="E106" s="94" t="s">
        <v>310</v>
      </c>
      <c r="F106" s="141" t="s">
        <v>924</v>
      </c>
      <c r="G106" s="646"/>
      <c r="H106" s="410" t="s">
        <v>709</v>
      </c>
      <c r="I106" s="85"/>
      <c r="J106" s="85"/>
      <c r="K106" s="85"/>
      <c r="L106" s="85"/>
      <c r="M106" s="85"/>
      <c r="N106" s="85"/>
      <c r="O106" s="85"/>
      <c r="P106" s="85"/>
      <c r="Q106" s="85"/>
      <c r="R106" s="85"/>
      <c r="S106" s="85"/>
      <c r="T106" s="85"/>
      <c r="U106" s="85"/>
      <c r="V106" s="85"/>
      <c r="W106" s="85"/>
      <c r="X106" s="85"/>
      <c r="Y106" s="85"/>
      <c r="Z106" s="85"/>
      <c r="AA106" s="85"/>
    </row>
    <row r="107" spans="1:27" x14ac:dyDescent="0.25">
      <c r="A107" s="108"/>
      <c r="B107" s="54"/>
      <c r="C107" s="93" t="s">
        <v>572</v>
      </c>
      <c r="D107" s="644"/>
      <c r="E107" s="94" t="s">
        <v>310</v>
      </c>
      <c r="F107" s="229"/>
      <c r="G107" s="229"/>
      <c r="H107" s="64"/>
      <c r="I107" s="85"/>
      <c r="J107" s="85"/>
      <c r="K107" s="85"/>
      <c r="L107" s="85"/>
      <c r="M107" s="85"/>
      <c r="N107" s="85"/>
      <c r="O107" s="85"/>
      <c r="P107" s="85"/>
      <c r="Q107" s="85"/>
      <c r="R107" s="85"/>
      <c r="S107" s="85"/>
      <c r="T107" s="85"/>
      <c r="U107" s="85"/>
      <c r="V107" s="85"/>
      <c r="W107" s="85"/>
      <c r="X107" s="85"/>
      <c r="Y107" s="85"/>
      <c r="Z107" s="85"/>
      <c r="AA107" s="85"/>
    </row>
    <row r="108" spans="1:27" x14ac:dyDescent="0.25">
      <c r="A108" s="108"/>
      <c r="B108" s="54"/>
      <c r="C108" s="93" t="s">
        <v>325</v>
      </c>
      <c r="D108" s="644"/>
      <c r="E108" s="94" t="s">
        <v>326</v>
      </c>
      <c r="F108" s="229"/>
      <c r="G108" s="229"/>
      <c r="H108" s="64"/>
      <c r="I108" s="85"/>
      <c r="J108" s="85"/>
      <c r="K108" s="85"/>
      <c r="L108" s="85"/>
      <c r="M108" s="85"/>
      <c r="N108" s="85"/>
      <c r="O108" s="85"/>
      <c r="P108" s="85"/>
      <c r="Q108" s="85"/>
      <c r="R108" s="85"/>
      <c r="S108" s="85"/>
      <c r="T108" s="85"/>
      <c r="U108" s="85"/>
      <c r="V108" s="85"/>
      <c r="W108" s="85"/>
      <c r="X108" s="85"/>
      <c r="Y108" s="85"/>
      <c r="Z108" s="85"/>
      <c r="AA108" s="85"/>
    </row>
    <row r="109" spans="1:27" x14ac:dyDescent="0.25">
      <c r="A109" s="108"/>
      <c r="B109" s="54"/>
      <c r="C109" s="730" t="s">
        <v>106</v>
      </c>
      <c r="D109" s="730"/>
      <c r="E109" s="730"/>
      <c r="F109" s="26"/>
      <c r="G109" s="26"/>
      <c r="H109" s="26"/>
      <c r="I109" s="85"/>
      <c r="J109" s="85"/>
      <c r="K109" s="85"/>
      <c r="L109" s="85"/>
      <c r="M109" s="85"/>
      <c r="N109" s="85"/>
      <c r="O109" s="85"/>
      <c r="P109" s="85"/>
      <c r="Q109" s="85"/>
      <c r="R109" s="85"/>
      <c r="S109" s="85"/>
      <c r="T109" s="85"/>
      <c r="U109" s="85"/>
      <c r="V109" s="85"/>
      <c r="W109" s="85"/>
      <c r="X109" s="85"/>
      <c r="Y109" s="85"/>
      <c r="Z109" s="85"/>
      <c r="AA109" s="85"/>
    </row>
    <row r="110" spans="1:27" x14ac:dyDescent="0.25">
      <c r="A110" s="108"/>
      <c r="B110" s="54"/>
      <c r="C110" s="91" t="s">
        <v>392</v>
      </c>
      <c r="D110" s="644"/>
      <c r="E110" s="94" t="s">
        <v>605</v>
      </c>
      <c r="F110" s="26"/>
      <c r="G110" s="26"/>
      <c r="H110" s="26"/>
      <c r="I110" s="85"/>
      <c r="J110" s="85"/>
      <c r="K110" s="85"/>
      <c r="L110" s="85"/>
      <c r="M110" s="85"/>
      <c r="N110" s="85"/>
      <c r="O110" s="85"/>
      <c r="P110" s="85"/>
      <c r="Q110" s="85"/>
      <c r="R110" s="85"/>
      <c r="S110" s="85"/>
      <c r="T110" s="85"/>
      <c r="U110" s="85"/>
      <c r="V110" s="85"/>
      <c r="W110" s="85"/>
      <c r="X110" s="85"/>
      <c r="Y110" s="85"/>
      <c r="Z110" s="85"/>
      <c r="AA110" s="85"/>
    </row>
    <row r="111" spans="1:27" x14ac:dyDescent="0.25">
      <c r="A111" s="108"/>
      <c r="B111" s="54"/>
      <c r="C111" s="91" t="s">
        <v>134</v>
      </c>
      <c r="D111" s="670"/>
      <c r="E111" s="94"/>
      <c r="F111" s="26"/>
      <c r="G111" s="26"/>
      <c r="H111" s="26"/>
      <c r="I111" s="85"/>
      <c r="J111" s="85"/>
      <c r="K111" s="85"/>
      <c r="L111" s="85"/>
      <c r="M111" s="85"/>
      <c r="N111" s="85"/>
      <c r="O111" s="85"/>
      <c r="P111" s="85"/>
      <c r="Q111" s="85"/>
      <c r="R111" s="85"/>
      <c r="S111" s="85"/>
      <c r="T111" s="85"/>
      <c r="U111" s="85"/>
      <c r="V111" s="85"/>
      <c r="W111" s="85"/>
      <c r="X111" s="85"/>
      <c r="Y111" s="85"/>
      <c r="Z111" s="85"/>
      <c r="AA111" s="85"/>
    </row>
    <row r="112" spans="1:27" x14ac:dyDescent="0.25">
      <c r="A112" s="108"/>
      <c r="B112" s="54"/>
      <c r="C112" s="91" t="s">
        <v>257</v>
      </c>
      <c r="D112" s="644"/>
      <c r="E112" s="94" t="s">
        <v>258</v>
      </c>
      <c r="F112" s="26"/>
      <c r="G112" s="26"/>
      <c r="H112" s="26"/>
      <c r="I112" s="85"/>
      <c r="J112" s="85"/>
      <c r="K112" s="85"/>
      <c r="L112" s="85"/>
      <c r="M112" s="85"/>
      <c r="N112" s="85"/>
      <c r="O112" s="85"/>
      <c r="P112" s="85"/>
      <c r="Q112" s="85"/>
      <c r="R112" s="85"/>
      <c r="S112" s="85"/>
      <c r="T112" s="85"/>
      <c r="U112" s="85"/>
      <c r="V112" s="85"/>
      <c r="W112" s="85"/>
      <c r="X112" s="85"/>
      <c r="Y112" s="85"/>
      <c r="Z112" s="85"/>
      <c r="AA112" s="85"/>
    </row>
    <row r="113" spans="1:27" x14ac:dyDescent="0.25">
      <c r="A113" s="108"/>
      <c r="B113" s="54"/>
      <c r="C113" s="730" t="s">
        <v>346</v>
      </c>
      <c r="D113" s="730"/>
      <c r="E113" s="730"/>
      <c r="F113" s="26"/>
      <c r="G113" s="26"/>
      <c r="H113" s="26"/>
      <c r="I113" s="85"/>
      <c r="J113" s="85"/>
      <c r="K113" s="85"/>
      <c r="L113" s="85"/>
      <c r="M113" s="85"/>
      <c r="N113" s="85"/>
      <c r="O113" s="85"/>
      <c r="P113" s="85"/>
      <c r="Q113" s="85"/>
      <c r="R113" s="85"/>
      <c r="S113" s="85"/>
      <c r="T113" s="85"/>
      <c r="U113" s="85"/>
      <c r="V113" s="85"/>
      <c r="W113" s="85"/>
      <c r="X113" s="85"/>
      <c r="Y113" s="85"/>
      <c r="Z113" s="85"/>
      <c r="AA113" s="85"/>
    </row>
    <row r="114" spans="1:27" x14ac:dyDescent="0.25">
      <c r="A114" s="108"/>
      <c r="B114" s="54"/>
      <c r="C114" s="91" t="s">
        <v>392</v>
      </c>
      <c r="D114" s="644"/>
      <c r="E114" s="94" t="s">
        <v>605</v>
      </c>
      <c r="F114" s="26"/>
      <c r="G114" s="26"/>
      <c r="H114" s="26"/>
      <c r="I114" s="85"/>
      <c r="J114" s="85"/>
      <c r="K114" s="85"/>
      <c r="L114" s="85"/>
      <c r="M114" s="85"/>
      <c r="N114" s="85"/>
      <c r="O114" s="85"/>
      <c r="P114" s="85"/>
      <c r="Q114" s="85"/>
      <c r="R114" s="85"/>
      <c r="S114" s="85"/>
      <c r="T114" s="85"/>
      <c r="U114" s="85"/>
      <c r="V114" s="85"/>
      <c r="W114" s="85"/>
      <c r="X114" s="85"/>
      <c r="Y114" s="85"/>
      <c r="Z114" s="85"/>
      <c r="AA114" s="85"/>
    </row>
    <row r="115" spans="1:27" x14ac:dyDescent="0.25">
      <c r="A115" s="108"/>
      <c r="B115" s="54"/>
      <c r="C115" s="91" t="s">
        <v>134</v>
      </c>
      <c r="D115" s="670"/>
      <c r="E115" s="94"/>
      <c r="F115" s="26"/>
      <c r="G115" s="26"/>
      <c r="H115" s="26"/>
      <c r="I115" s="85"/>
      <c r="J115" s="85"/>
      <c r="K115" s="85"/>
      <c r="L115" s="85"/>
      <c r="M115" s="85"/>
      <c r="N115" s="85"/>
      <c r="O115" s="85"/>
      <c r="P115" s="85"/>
      <c r="Q115" s="85"/>
      <c r="R115" s="85"/>
      <c r="S115" s="85"/>
      <c r="T115" s="85"/>
      <c r="U115" s="85"/>
      <c r="V115" s="85"/>
      <c r="W115" s="85"/>
      <c r="X115" s="85"/>
      <c r="Y115" s="85"/>
      <c r="Z115" s="85"/>
      <c r="AA115" s="85"/>
    </row>
    <row r="116" spans="1:27" x14ac:dyDescent="0.25">
      <c r="A116" s="108"/>
      <c r="B116" s="54"/>
      <c r="C116" s="91" t="s">
        <v>257</v>
      </c>
      <c r="D116" s="644"/>
      <c r="E116" s="94" t="s">
        <v>258</v>
      </c>
      <c r="F116" s="26"/>
      <c r="G116" s="26"/>
      <c r="H116" s="26"/>
      <c r="I116" s="85"/>
      <c r="J116" s="85"/>
      <c r="K116" s="85"/>
      <c r="L116" s="85"/>
      <c r="M116" s="85"/>
      <c r="N116" s="85"/>
      <c r="O116" s="85"/>
      <c r="P116" s="85"/>
      <c r="Q116" s="85"/>
      <c r="R116" s="85"/>
      <c r="S116" s="85"/>
      <c r="T116" s="85"/>
      <c r="U116" s="85"/>
      <c r="V116" s="85"/>
      <c r="W116" s="85"/>
      <c r="X116" s="85"/>
      <c r="Y116" s="85"/>
      <c r="Z116" s="85"/>
      <c r="AA116" s="85"/>
    </row>
    <row r="117" spans="1:27" x14ac:dyDescent="0.25">
      <c r="A117" s="108"/>
      <c r="B117" s="54"/>
      <c r="C117" s="730" t="s">
        <v>466</v>
      </c>
      <c r="D117" s="730"/>
      <c r="E117" s="730"/>
      <c r="F117" s="26"/>
      <c r="G117" s="26"/>
      <c r="H117" s="26"/>
      <c r="I117" s="85"/>
      <c r="J117" s="85"/>
      <c r="K117" s="85"/>
      <c r="L117" s="85"/>
      <c r="M117" s="85"/>
      <c r="N117" s="85"/>
      <c r="O117" s="85"/>
      <c r="P117" s="85"/>
      <c r="Q117" s="85"/>
      <c r="R117" s="85"/>
      <c r="S117" s="85"/>
      <c r="T117" s="85"/>
      <c r="U117" s="85"/>
      <c r="V117" s="85"/>
      <c r="W117" s="85"/>
      <c r="X117" s="85"/>
      <c r="Y117" s="85"/>
      <c r="Z117" s="85"/>
      <c r="AA117" s="85"/>
    </row>
    <row r="118" spans="1:27" x14ac:dyDescent="0.25">
      <c r="A118" s="108"/>
      <c r="B118" s="54"/>
      <c r="C118" s="91" t="s">
        <v>392</v>
      </c>
      <c r="D118" s="644"/>
      <c r="E118" s="94" t="s">
        <v>605</v>
      </c>
      <c r="F118" s="26"/>
      <c r="G118" s="26"/>
      <c r="H118" s="26"/>
      <c r="I118" s="85"/>
      <c r="J118" s="85"/>
      <c r="K118" s="85"/>
      <c r="L118" s="85"/>
      <c r="M118" s="85"/>
      <c r="N118" s="85"/>
      <c r="O118" s="85"/>
      <c r="P118" s="85"/>
      <c r="Q118" s="85"/>
      <c r="R118" s="85"/>
      <c r="S118" s="85"/>
      <c r="T118" s="85"/>
      <c r="U118" s="85"/>
      <c r="V118" s="85"/>
      <c r="W118" s="85"/>
      <c r="X118" s="85"/>
      <c r="Y118" s="85"/>
      <c r="Z118" s="85"/>
      <c r="AA118" s="85"/>
    </row>
    <row r="119" spans="1:27" x14ac:dyDescent="0.25">
      <c r="A119" s="108"/>
      <c r="B119" s="54"/>
      <c r="C119" s="91" t="s">
        <v>134</v>
      </c>
      <c r="D119" s="670"/>
      <c r="E119" s="94"/>
      <c r="F119" s="26"/>
      <c r="G119" s="26"/>
      <c r="H119" s="26"/>
      <c r="I119" s="85"/>
      <c r="J119" s="85"/>
      <c r="K119" s="85"/>
      <c r="L119" s="85"/>
      <c r="M119" s="85"/>
      <c r="N119" s="85"/>
      <c r="O119" s="85"/>
      <c r="P119" s="85"/>
      <c r="Q119" s="85"/>
      <c r="R119" s="85"/>
      <c r="S119" s="85"/>
      <c r="T119" s="85"/>
      <c r="U119" s="85"/>
      <c r="V119" s="85"/>
      <c r="W119" s="85"/>
      <c r="X119" s="85"/>
      <c r="Y119" s="85"/>
      <c r="Z119" s="85"/>
      <c r="AA119" s="85"/>
    </row>
    <row r="120" spans="1:27" x14ac:dyDescent="0.25">
      <c r="A120" s="108"/>
      <c r="B120" s="54"/>
      <c r="C120" s="91" t="s">
        <v>257</v>
      </c>
      <c r="D120" s="644"/>
      <c r="E120" s="94" t="s">
        <v>258</v>
      </c>
      <c r="F120" s="26"/>
      <c r="G120" s="26"/>
      <c r="H120" s="26"/>
      <c r="I120" s="85"/>
      <c r="J120" s="85"/>
      <c r="K120" s="85"/>
      <c r="L120" s="85"/>
      <c r="M120" s="85"/>
      <c r="N120" s="85"/>
      <c r="O120" s="85"/>
      <c r="P120" s="85"/>
      <c r="Q120" s="85"/>
      <c r="R120" s="85"/>
      <c r="S120" s="85"/>
      <c r="T120" s="85"/>
      <c r="U120" s="85"/>
      <c r="V120" s="85"/>
      <c r="W120" s="85"/>
      <c r="X120" s="85"/>
      <c r="Y120" s="85"/>
      <c r="Z120" s="85"/>
      <c r="AA120" s="85"/>
    </row>
    <row r="121" spans="1:27" ht="6" customHeight="1" x14ac:dyDescent="0.25">
      <c r="A121" s="108"/>
      <c r="B121" s="29"/>
      <c r="C121" s="24"/>
      <c r="D121" s="25"/>
      <c r="E121" s="25"/>
      <c r="F121" s="24"/>
      <c r="G121" s="24"/>
      <c r="H121" s="24"/>
      <c r="I121" s="85"/>
      <c r="J121" s="85"/>
      <c r="K121" s="85"/>
      <c r="L121" s="85"/>
      <c r="M121" s="85"/>
      <c r="N121" s="85"/>
      <c r="O121" s="85"/>
      <c r="P121" s="85"/>
      <c r="Q121" s="85"/>
      <c r="R121" s="85"/>
      <c r="S121" s="85"/>
      <c r="T121" s="85"/>
      <c r="U121" s="85"/>
      <c r="V121" s="85"/>
      <c r="W121" s="85"/>
      <c r="X121" s="85"/>
      <c r="Y121" s="85"/>
      <c r="Z121" s="85"/>
      <c r="AA121" s="85"/>
    </row>
    <row r="122" spans="1:27" x14ac:dyDescent="0.25">
      <c r="A122" s="108"/>
      <c r="B122" s="108"/>
      <c r="C122" s="108"/>
      <c r="D122" s="108"/>
      <c r="E122" s="108"/>
      <c r="F122" s="108"/>
      <c r="G122" s="108"/>
      <c r="H122" s="108"/>
      <c r="I122" s="108"/>
      <c r="J122" s="108"/>
      <c r="K122" s="108"/>
      <c r="L122" s="85"/>
      <c r="M122" s="85"/>
      <c r="N122" s="85"/>
      <c r="O122" s="85"/>
      <c r="P122" s="85"/>
      <c r="Q122" s="85"/>
      <c r="R122" s="85"/>
      <c r="S122" s="85"/>
      <c r="T122" s="85"/>
      <c r="U122" s="85"/>
      <c r="V122" s="85"/>
      <c r="W122" s="85"/>
      <c r="X122" s="85"/>
      <c r="Y122" s="85"/>
      <c r="Z122" s="85"/>
      <c r="AA122" s="85"/>
    </row>
    <row r="123" spans="1:27" ht="18.75" x14ac:dyDescent="0.25">
      <c r="A123" s="108"/>
      <c r="B123" s="732" t="s">
        <v>961</v>
      </c>
      <c r="C123" s="732"/>
      <c r="D123" s="732"/>
      <c r="E123" s="732"/>
      <c r="F123" s="732"/>
      <c r="G123" s="732"/>
      <c r="H123" s="732"/>
      <c r="I123" s="85"/>
      <c r="J123" s="85"/>
      <c r="K123" s="85"/>
      <c r="L123" s="85"/>
      <c r="M123" s="85"/>
      <c r="N123" s="85"/>
      <c r="O123" s="85"/>
      <c r="P123" s="85"/>
      <c r="Q123" s="85"/>
      <c r="R123" s="85"/>
      <c r="S123" s="85"/>
      <c r="T123" s="85"/>
      <c r="U123" s="85"/>
      <c r="V123" s="85"/>
      <c r="W123" s="85"/>
      <c r="X123" s="85"/>
      <c r="Y123" s="85"/>
      <c r="Z123" s="85"/>
      <c r="AA123" s="85"/>
    </row>
    <row r="124" spans="1:27" ht="6" customHeight="1" x14ac:dyDescent="0.25">
      <c r="A124" s="108"/>
      <c r="B124" s="108"/>
      <c r="C124" s="108"/>
      <c r="D124" s="108"/>
      <c r="E124" s="108"/>
      <c r="F124" s="108"/>
      <c r="G124" s="108"/>
      <c r="H124" s="108"/>
      <c r="I124" s="108"/>
      <c r="J124" s="85"/>
      <c r="K124" s="85"/>
      <c r="L124" s="85"/>
      <c r="M124" s="85"/>
      <c r="N124" s="85"/>
      <c r="O124" s="85"/>
      <c r="P124" s="85"/>
      <c r="Q124" s="85"/>
      <c r="R124" s="85"/>
      <c r="S124" s="85"/>
      <c r="T124" s="85"/>
      <c r="U124" s="85"/>
      <c r="V124" s="85"/>
      <c r="W124" s="85"/>
      <c r="X124" s="85"/>
      <c r="Y124" s="85"/>
      <c r="Z124" s="85"/>
      <c r="AA124" s="85"/>
    </row>
    <row r="125" spans="1:27" x14ac:dyDescent="0.25">
      <c r="A125" s="108"/>
      <c r="B125" s="54"/>
      <c r="C125" s="730" t="s">
        <v>45</v>
      </c>
      <c r="D125" s="730"/>
      <c r="E125" s="730"/>
      <c r="F125" s="26"/>
      <c r="G125" s="43"/>
      <c r="H125" s="73"/>
      <c r="I125" s="85"/>
      <c r="J125" s="85"/>
      <c r="K125" s="85"/>
      <c r="L125" s="85"/>
      <c r="M125" s="85"/>
      <c r="N125" s="85"/>
      <c r="O125" s="85"/>
      <c r="P125" s="85"/>
      <c r="Q125" s="85"/>
      <c r="R125" s="85"/>
      <c r="S125" s="85"/>
      <c r="T125" s="85"/>
      <c r="U125" s="85"/>
      <c r="V125" s="85"/>
      <c r="W125" s="85"/>
      <c r="X125" s="85"/>
      <c r="Y125" s="85"/>
      <c r="Z125" s="85"/>
      <c r="AA125" s="85"/>
    </row>
    <row r="126" spans="1:27" x14ac:dyDescent="0.25">
      <c r="A126" s="108"/>
      <c r="B126" s="26"/>
      <c r="C126" s="91" t="s">
        <v>895</v>
      </c>
      <c r="D126" s="670">
        <v>1</v>
      </c>
      <c r="E126" s="659" t="str">
        <f>IF((D126=1),"","A porcentagem desta distribuição deve ser igual a 100%!")</f>
        <v/>
      </c>
      <c r="F126" s="26"/>
      <c r="G126" s="26"/>
      <c r="H126" s="73"/>
      <c r="I126" s="85"/>
      <c r="J126" s="85"/>
      <c r="K126" s="85"/>
      <c r="L126" s="85"/>
      <c r="M126" s="85"/>
      <c r="N126" s="85"/>
      <c r="O126" s="85"/>
      <c r="P126" s="85"/>
      <c r="Q126" s="85"/>
      <c r="R126" s="85"/>
      <c r="S126" s="85"/>
      <c r="T126" s="85"/>
      <c r="U126" s="85"/>
      <c r="V126" s="85"/>
      <c r="W126" s="85"/>
      <c r="X126" s="85"/>
      <c r="Y126" s="85"/>
      <c r="Z126" s="85"/>
      <c r="AA126" s="85"/>
    </row>
    <row r="127" spans="1:27" ht="6" customHeight="1" x14ac:dyDescent="0.25">
      <c r="A127" s="108"/>
      <c r="B127" s="26"/>
      <c r="C127" s="26"/>
      <c r="D127" s="25"/>
      <c r="E127" s="25"/>
      <c r="F127" s="26"/>
      <c r="G127" s="26"/>
      <c r="H127" s="73"/>
      <c r="I127" s="85"/>
      <c r="J127" s="85"/>
      <c r="K127" s="85"/>
      <c r="L127" s="85"/>
      <c r="M127" s="85"/>
      <c r="N127" s="85"/>
      <c r="O127" s="85"/>
      <c r="P127" s="85"/>
      <c r="Q127" s="85"/>
      <c r="R127" s="85"/>
      <c r="S127" s="85"/>
      <c r="T127" s="85"/>
      <c r="U127" s="85"/>
      <c r="V127" s="85"/>
      <c r="W127" s="85"/>
      <c r="X127" s="85"/>
      <c r="Y127" s="85"/>
      <c r="Z127" s="85"/>
      <c r="AA127" s="85"/>
    </row>
    <row r="128" spans="1:27" ht="6" customHeight="1" x14ac:dyDescent="0.25">
      <c r="A128" s="108"/>
      <c r="B128" s="108"/>
      <c r="C128" s="108"/>
      <c r="D128" s="108"/>
      <c r="E128" s="108"/>
      <c r="F128" s="108"/>
      <c r="G128" s="108"/>
      <c r="H128" s="108"/>
      <c r="I128" s="85"/>
      <c r="J128" s="85"/>
      <c r="K128" s="85"/>
      <c r="L128" s="85"/>
      <c r="M128" s="85"/>
      <c r="N128" s="85"/>
      <c r="O128" s="85"/>
      <c r="P128" s="85"/>
      <c r="Q128" s="85"/>
      <c r="R128" s="85"/>
      <c r="S128" s="85"/>
      <c r="T128" s="85"/>
      <c r="U128" s="85"/>
      <c r="V128" s="85"/>
      <c r="W128" s="85"/>
      <c r="X128" s="85"/>
      <c r="Y128" s="85"/>
      <c r="Z128" s="85"/>
      <c r="AA128" s="85"/>
    </row>
    <row r="129" spans="1:27" x14ac:dyDescent="0.25">
      <c r="A129" s="108"/>
      <c r="B129" s="54"/>
      <c r="C129" s="730" t="s">
        <v>46</v>
      </c>
      <c r="D129" s="730"/>
      <c r="E129" s="730"/>
      <c r="F129" s="26"/>
      <c r="G129" s="43"/>
      <c r="H129" s="73"/>
      <c r="I129" s="85"/>
      <c r="J129" s="85"/>
      <c r="K129" s="85"/>
      <c r="L129" s="85"/>
      <c r="M129" s="85"/>
      <c r="N129" s="85"/>
      <c r="O129" s="85"/>
      <c r="P129" s="85"/>
      <c r="Q129" s="85"/>
      <c r="R129" s="85"/>
      <c r="S129" s="85"/>
      <c r="T129" s="85"/>
      <c r="U129" s="85"/>
      <c r="V129" s="85"/>
      <c r="W129" s="85"/>
      <c r="X129" s="85"/>
      <c r="Y129" s="85"/>
      <c r="Z129" s="85"/>
      <c r="AA129" s="85"/>
    </row>
    <row r="130" spans="1:27" x14ac:dyDescent="0.25">
      <c r="A130" s="108"/>
      <c r="B130" s="26"/>
      <c r="C130" s="91" t="s">
        <v>895</v>
      </c>
      <c r="D130" s="670">
        <v>1</v>
      </c>
      <c r="E130" s="659" t="str">
        <f>IF((D130=1),"","A porcentagem desta distribuição deve ser igual a 100%!")</f>
        <v/>
      </c>
      <c r="F130" s="26"/>
      <c r="G130" s="26"/>
      <c r="H130" s="73"/>
    </row>
    <row r="131" spans="1:27" ht="6" customHeight="1" x14ac:dyDescent="0.25">
      <c r="A131" s="108"/>
      <c r="B131" s="26"/>
      <c r="C131" s="26"/>
      <c r="D131" s="25"/>
      <c r="E131" s="25"/>
      <c r="F131" s="26"/>
      <c r="G131" s="26"/>
      <c r="H131" s="73"/>
    </row>
    <row r="132" spans="1:27" x14ac:dyDescent="0.25">
      <c r="A132" s="108"/>
      <c r="D132" s="42"/>
    </row>
    <row r="133" spans="1:27" x14ac:dyDescent="0.25">
      <c r="A133" s="108"/>
      <c r="D133" s="42"/>
    </row>
    <row r="134" spans="1:27" x14ac:dyDescent="0.25">
      <c r="A134" s="108"/>
      <c r="D134" s="42"/>
    </row>
    <row r="135" spans="1:27" x14ac:dyDescent="0.25">
      <c r="A135" s="108"/>
      <c r="D135" s="42"/>
    </row>
    <row r="136" spans="1:27" x14ac:dyDescent="0.25">
      <c r="A136" s="108"/>
      <c r="D136" s="42"/>
    </row>
    <row r="137" spans="1:27" x14ac:dyDescent="0.25">
      <c r="A137" s="108"/>
      <c r="D137" s="42"/>
    </row>
    <row r="138" spans="1:27" x14ac:dyDescent="0.25">
      <c r="A138" s="108"/>
      <c r="D138" s="42"/>
    </row>
    <row r="139" spans="1:27" x14ac:dyDescent="0.25">
      <c r="A139" s="108"/>
      <c r="D139" s="42"/>
    </row>
    <row r="140" spans="1:27" x14ac:dyDescent="0.25">
      <c r="A140" s="108"/>
      <c r="D140" s="42"/>
    </row>
    <row r="141" spans="1:27" x14ac:dyDescent="0.25">
      <c r="A141" s="108"/>
      <c r="D141" s="42"/>
    </row>
    <row r="142" spans="1:27" x14ac:dyDescent="0.25">
      <c r="A142" s="108"/>
      <c r="D142" s="42"/>
    </row>
    <row r="143" spans="1:27" x14ac:dyDescent="0.25">
      <c r="A143" s="108"/>
      <c r="D143" s="42"/>
    </row>
    <row r="144" spans="1:27" x14ac:dyDescent="0.25">
      <c r="A144" s="108"/>
      <c r="D144" s="42"/>
    </row>
    <row r="145" spans="1:4" x14ac:dyDescent="0.25">
      <c r="A145" s="108"/>
      <c r="D145" s="42"/>
    </row>
    <row r="146" spans="1:4" x14ac:dyDescent="0.25">
      <c r="A146" s="108"/>
      <c r="D146" s="42"/>
    </row>
    <row r="147" spans="1:4" x14ac:dyDescent="0.25">
      <c r="A147" s="108"/>
      <c r="D147" s="42"/>
    </row>
    <row r="148" spans="1:4" x14ac:dyDescent="0.25">
      <c r="A148" s="108"/>
      <c r="D148" s="42"/>
    </row>
    <row r="149" spans="1:4" x14ac:dyDescent="0.25">
      <c r="D149" s="42"/>
    </row>
    <row r="150" spans="1:4" x14ac:dyDescent="0.25">
      <c r="D150" s="42"/>
    </row>
    <row r="151" spans="1:4" x14ac:dyDescent="0.25">
      <c r="D151" s="42"/>
    </row>
    <row r="152" spans="1:4" x14ac:dyDescent="0.25">
      <c r="D152" s="42"/>
    </row>
    <row r="153" spans="1:4" x14ac:dyDescent="0.25">
      <c r="D153" s="42"/>
    </row>
    <row r="154" spans="1:4" x14ac:dyDescent="0.25">
      <c r="D154" s="42"/>
    </row>
    <row r="155" spans="1:4" x14ac:dyDescent="0.25">
      <c r="D155" s="42"/>
    </row>
    <row r="156" spans="1:4" x14ac:dyDescent="0.25">
      <c r="D156" s="42"/>
    </row>
    <row r="157" spans="1:4" x14ac:dyDescent="0.25">
      <c r="D157" s="42"/>
    </row>
    <row r="158" spans="1:4" x14ac:dyDescent="0.25">
      <c r="D158" s="42"/>
    </row>
    <row r="159" spans="1:4" x14ac:dyDescent="0.25">
      <c r="D159" s="42"/>
    </row>
    <row r="160" spans="1:4" x14ac:dyDescent="0.25">
      <c r="D160" s="42"/>
    </row>
    <row r="161" spans="4:4" x14ac:dyDescent="0.25">
      <c r="D161" s="42"/>
    </row>
    <row r="162" spans="4:4" x14ac:dyDescent="0.25">
      <c r="D162" s="42"/>
    </row>
    <row r="163" spans="4:4" x14ac:dyDescent="0.25">
      <c r="D163" s="42"/>
    </row>
    <row r="164" spans="4:4" x14ac:dyDescent="0.25">
      <c r="D164" s="42"/>
    </row>
    <row r="165" spans="4:4" x14ac:dyDescent="0.25">
      <c r="D165" s="42"/>
    </row>
    <row r="166" spans="4:4" x14ac:dyDescent="0.25">
      <c r="D166" s="42"/>
    </row>
    <row r="167" spans="4:4" x14ac:dyDescent="0.25">
      <c r="D167" s="42"/>
    </row>
    <row r="168" spans="4:4" x14ac:dyDescent="0.25">
      <c r="D168" s="42"/>
    </row>
    <row r="169" spans="4:4" x14ac:dyDescent="0.25">
      <c r="D169" s="42"/>
    </row>
    <row r="170" spans="4:4" x14ac:dyDescent="0.25">
      <c r="D170" s="42"/>
    </row>
    <row r="171" spans="4:4" x14ac:dyDescent="0.25">
      <c r="D171" s="42"/>
    </row>
    <row r="172" spans="4:4" x14ac:dyDescent="0.25">
      <c r="D172" s="42"/>
    </row>
    <row r="173" spans="4:4" x14ac:dyDescent="0.25">
      <c r="D173" s="42"/>
    </row>
    <row r="174" spans="4:4" x14ac:dyDescent="0.25">
      <c r="D174" s="42"/>
    </row>
    <row r="175" spans="4:4" x14ac:dyDescent="0.25">
      <c r="D175" s="42"/>
    </row>
    <row r="176" spans="4:4" x14ac:dyDescent="0.25">
      <c r="D176" s="42"/>
    </row>
    <row r="177" spans="4:4" x14ac:dyDescent="0.25">
      <c r="D177" s="42"/>
    </row>
    <row r="178" spans="4:4" x14ac:dyDescent="0.25">
      <c r="D178" s="42"/>
    </row>
    <row r="179" spans="4:4" x14ac:dyDescent="0.25">
      <c r="D179" s="42"/>
    </row>
    <row r="180" spans="4:4" x14ac:dyDescent="0.25">
      <c r="D180" s="42"/>
    </row>
    <row r="181" spans="4:4" x14ac:dyDescent="0.25">
      <c r="D181" s="42"/>
    </row>
    <row r="182" spans="4:4" x14ac:dyDescent="0.25">
      <c r="D182" s="42"/>
    </row>
    <row r="183" spans="4:4" x14ac:dyDescent="0.25">
      <c r="D183" s="42"/>
    </row>
    <row r="184" spans="4:4" x14ac:dyDescent="0.25">
      <c r="D184" s="42"/>
    </row>
    <row r="185" spans="4:4" x14ac:dyDescent="0.25">
      <c r="D185" s="42"/>
    </row>
    <row r="186" spans="4:4" x14ac:dyDescent="0.25">
      <c r="D186" s="42"/>
    </row>
    <row r="187" spans="4:4" x14ac:dyDescent="0.25">
      <c r="D187" s="42"/>
    </row>
    <row r="188" spans="4:4" x14ac:dyDescent="0.25">
      <c r="D188" s="42"/>
    </row>
    <row r="189" spans="4:4" x14ac:dyDescent="0.25">
      <c r="D189" s="42"/>
    </row>
    <row r="190" spans="4:4" x14ac:dyDescent="0.25">
      <c r="D190" s="42"/>
    </row>
    <row r="191" spans="4:4" x14ac:dyDescent="0.25">
      <c r="D191" s="42"/>
    </row>
    <row r="192" spans="4:4" x14ac:dyDescent="0.25">
      <c r="D192" s="42"/>
    </row>
    <row r="193" spans="4:4" x14ac:dyDescent="0.25">
      <c r="D193" s="42"/>
    </row>
    <row r="194" spans="4:4" x14ac:dyDescent="0.25">
      <c r="D194" s="42"/>
    </row>
    <row r="195" spans="4:4" x14ac:dyDescent="0.25">
      <c r="D195" s="42"/>
    </row>
    <row r="196" spans="4:4" x14ac:dyDescent="0.25">
      <c r="D196" s="42"/>
    </row>
    <row r="197" spans="4:4" x14ac:dyDescent="0.25">
      <c r="D197" s="42"/>
    </row>
    <row r="198" spans="4:4" x14ac:dyDescent="0.25">
      <c r="D198" s="42"/>
    </row>
    <row r="199" spans="4:4" x14ac:dyDescent="0.25">
      <c r="D199" s="42"/>
    </row>
    <row r="200" spans="4:4" x14ac:dyDescent="0.25">
      <c r="D200" s="42"/>
    </row>
    <row r="201" spans="4:4" x14ac:dyDescent="0.25">
      <c r="D201" s="42"/>
    </row>
    <row r="202" spans="4:4" x14ac:dyDescent="0.25">
      <c r="D202" s="42"/>
    </row>
    <row r="203" spans="4:4" x14ac:dyDescent="0.25">
      <c r="D203" s="42"/>
    </row>
    <row r="204" spans="4:4" x14ac:dyDescent="0.25">
      <c r="D204" s="42"/>
    </row>
    <row r="205" spans="4:4" x14ac:dyDescent="0.25">
      <c r="D205" s="42"/>
    </row>
    <row r="206" spans="4:4" x14ac:dyDescent="0.25">
      <c r="D206" s="42"/>
    </row>
    <row r="207" spans="4:4" x14ac:dyDescent="0.25">
      <c r="D207" s="42"/>
    </row>
    <row r="208" spans="4:4" x14ac:dyDescent="0.25">
      <c r="D208" s="42"/>
    </row>
    <row r="209" spans="4:4" x14ac:dyDescent="0.25">
      <c r="D209" s="42"/>
    </row>
    <row r="210" spans="4:4" x14ac:dyDescent="0.25">
      <c r="D210" s="42"/>
    </row>
    <row r="211" spans="4:4" x14ac:dyDescent="0.25">
      <c r="D211" s="42"/>
    </row>
    <row r="212" spans="4:4" x14ac:dyDescent="0.25">
      <c r="D212" s="42"/>
    </row>
    <row r="213" spans="4:4" x14ac:dyDescent="0.25">
      <c r="D213" s="42"/>
    </row>
    <row r="214" spans="4:4" x14ac:dyDescent="0.25">
      <c r="D214" s="42"/>
    </row>
    <row r="215" spans="4:4" x14ac:dyDescent="0.25">
      <c r="D215" s="42"/>
    </row>
    <row r="216" spans="4:4" x14ac:dyDescent="0.25">
      <c r="D216" s="42"/>
    </row>
    <row r="217" spans="4:4" x14ac:dyDescent="0.25">
      <c r="D217" s="42"/>
    </row>
    <row r="218" spans="4:4" x14ac:dyDescent="0.25">
      <c r="D218" s="42"/>
    </row>
    <row r="219" spans="4:4" x14ac:dyDescent="0.25">
      <c r="D219" s="42"/>
    </row>
    <row r="220" spans="4:4" x14ac:dyDescent="0.25">
      <c r="D220" s="42"/>
    </row>
    <row r="221" spans="4:4" x14ac:dyDescent="0.25">
      <c r="D221" s="42"/>
    </row>
    <row r="222" spans="4:4" x14ac:dyDescent="0.25">
      <c r="D222" s="42"/>
    </row>
    <row r="223" spans="4:4" x14ac:dyDescent="0.25">
      <c r="D223" s="42"/>
    </row>
    <row r="224" spans="4:4" x14ac:dyDescent="0.25">
      <c r="D224" s="42"/>
    </row>
    <row r="225" spans="4:4" x14ac:dyDescent="0.25">
      <c r="D225" s="42"/>
    </row>
    <row r="226" spans="4:4" x14ac:dyDescent="0.25">
      <c r="D226" s="42"/>
    </row>
    <row r="227" spans="4:4" x14ac:dyDescent="0.25">
      <c r="D227" s="42"/>
    </row>
    <row r="228" spans="4:4" x14ac:dyDescent="0.25">
      <c r="D228" s="42"/>
    </row>
    <row r="229" spans="4:4" x14ac:dyDescent="0.25">
      <c r="D229" s="42"/>
    </row>
    <row r="230" spans="4:4" x14ac:dyDescent="0.25">
      <c r="D230" s="42"/>
    </row>
    <row r="231" spans="4:4" x14ac:dyDescent="0.25">
      <c r="D231" s="42"/>
    </row>
    <row r="232" spans="4:4" x14ac:dyDescent="0.25">
      <c r="D232" s="42"/>
    </row>
    <row r="233" spans="4:4" x14ac:dyDescent="0.25">
      <c r="D233" s="42"/>
    </row>
    <row r="234" spans="4:4" x14ac:dyDescent="0.25">
      <c r="D234" s="42"/>
    </row>
    <row r="235" spans="4:4" x14ac:dyDescent="0.25">
      <c r="D235" s="42"/>
    </row>
    <row r="236" spans="4:4" x14ac:dyDescent="0.25">
      <c r="D236" s="42"/>
    </row>
    <row r="237" spans="4:4" x14ac:dyDescent="0.25">
      <c r="D237" s="42"/>
    </row>
    <row r="238" spans="4:4" x14ac:dyDescent="0.25">
      <c r="D238" s="42"/>
    </row>
    <row r="239" spans="4:4" x14ac:dyDescent="0.25">
      <c r="D239" s="42"/>
    </row>
    <row r="240" spans="4:4" x14ac:dyDescent="0.25">
      <c r="D240" s="42"/>
    </row>
    <row r="241" spans="4:4" x14ac:dyDescent="0.25">
      <c r="D241" s="42"/>
    </row>
    <row r="242" spans="4:4" x14ac:dyDescent="0.25">
      <c r="D242" s="42"/>
    </row>
    <row r="243" spans="4:4" x14ac:dyDescent="0.25">
      <c r="D243" s="42"/>
    </row>
    <row r="244" spans="4:4" x14ac:dyDescent="0.25">
      <c r="D244" s="42"/>
    </row>
    <row r="245" spans="4:4" x14ac:dyDescent="0.25">
      <c r="D245" s="42"/>
    </row>
    <row r="246" spans="4:4" x14ac:dyDescent="0.25">
      <c r="D246" s="42"/>
    </row>
    <row r="247" spans="4:4" x14ac:dyDescent="0.25">
      <c r="D247" s="42"/>
    </row>
    <row r="248" spans="4:4" x14ac:dyDescent="0.25">
      <c r="D248" s="42"/>
    </row>
    <row r="249" spans="4:4" x14ac:dyDescent="0.25">
      <c r="D249" s="42"/>
    </row>
    <row r="250" spans="4:4" x14ac:dyDescent="0.25">
      <c r="D250" s="42"/>
    </row>
    <row r="251" spans="4:4" x14ac:dyDescent="0.25">
      <c r="D251" s="42"/>
    </row>
    <row r="252" spans="4:4" x14ac:dyDescent="0.25">
      <c r="D252" s="42"/>
    </row>
    <row r="253" spans="4:4" x14ac:dyDescent="0.25">
      <c r="D253" s="42"/>
    </row>
    <row r="254" spans="4:4" x14ac:dyDescent="0.25">
      <c r="D254" s="42"/>
    </row>
    <row r="255" spans="4:4" x14ac:dyDescent="0.25">
      <c r="D255" s="42"/>
    </row>
    <row r="256" spans="4:4" x14ac:dyDescent="0.25">
      <c r="D256" s="42"/>
    </row>
    <row r="257" spans="4:4" x14ac:dyDescent="0.25">
      <c r="D257" s="42"/>
    </row>
    <row r="258" spans="4:4" x14ac:dyDescent="0.25">
      <c r="D258" s="42"/>
    </row>
    <row r="259" spans="4:4" x14ac:dyDescent="0.25">
      <c r="D259" s="42"/>
    </row>
    <row r="260" spans="4:4" x14ac:dyDescent="0.25">
      <c r="D260" s="42"/>
    </row>
    <row r="261" spans="4:4" x14ac:dyDescent="0.25">
      <c r="D261" s="42"/>
    </row>
    <row r="262" spans="4:4" x14ac:dyDescent="0.25">
      <c r="D262" s="42"/>
    </row>
    <row r="263" spans="4:4" x14ac:dyDescent="0.25">
      <c r="D263" s="42"/>
    </row>
    <row r="264" spans="4:4" x14ac:dyDescent="0.25">
      <c r="D264" s="42"/>
    </row>
    <row r="265" spans="4:4" x14ac:dyDescent="0.25">
      <c r="D265" s="42"/>
    </row>
    <row r="266" spans="4:4" x14ac:dyDescent="0.25">
      <c r="D266" s="42"/>
    </row>
    <row r="267" spans="4:4" x14ac:dyDescent="0.25">
      <c r="D267" s="42"/>
    </row>
    <row r="268" spans="4:4" x14ac:dyDescent="0.25">
      <c r="D268" s="42"/>
    </row>
    <row r="269" spans="4:4" x14ac:dyDescent="0.25">
      <c r="D269" s="42"/>
    </row>
    <row r="270" spans="4:4" x14ac:dyDescent="0.25">
      <c r="D270" s="42"/>
    </row>
    <row r="271" spans="4:4" x14ac:dyDescent="0.25">
      <c r="D271" s="42"/>
    </row>
    <row r="272" spans="4:4" x14ac:dyDescent="0.25">
      <c r="D272" s="42"/>
    </row>
    <row r="273" spans="4:4" x14ac:dyDescent="0.25">
      <c r="D273" s="42"/>
    </row>
    <row r="274" spans="4:4" x14ac:dyDescent="0.25">
      <c r="D274" s="42"/>
    </row>
    <row r="275" spans="4:4" x14ac:dyDescent="0.25">
      <c r="D275" s="42"/>
    </row>
    <row r="276" spans="4:4" x14ac:dyDescent="0.25">
      <c r="D276" s="42"/>
    </row>
    <row r="277" spans="4:4" x14ac:dyDescent="0.25">
      <c r="D277" s="42"/>
    </row>
    <row r="278" spans="4:4" x14ac:dyDescent="0.25">
      <c r="D278" s="42"/>
    </row>
    <row r="279" spans="4:4" x14ac:dyDescent="0.25">
      <c r="D279" s="42"/>
    </row>
    <row r="280" spans="4:4" x14ac:dyDescent="0.25">
      <c r="D280" s="42"/>
    </row>
    <row r="281" spans="4:4" x14ac:dyDescent="0.25">
      <c r="D281" s="42"/>
    </row>
    <row r="282" spans="4:4" x14ac:dyDescent="0.25">
      <c r="D282" s="42"/>
    </row>
    <row r="283" spans="4:4" x14ac:dyDescent="0.25">
      <c r="D283" s="42"/>
    </row>
    <row r="284" spans="4:4" x14ac:dyDescent="0.25">
      <c r="D284" s="42"/>
    </row>
    <row r="285" spans="4:4" x14ac:dyDescent="0.25">
      <c r="D285" s="42"/>
    </row>
    <row r="286" spans="4:4" x14ac:dyDescent="0.25">
      <c r="D286" s="42"/>
    </row>
    <row r="287" spans="4:4" x14ac:dyDescent="0.25">
      <c r="D287" s="42"/>
    </row>
    <row r="288" spans="4:4" x14ac:dyDescent="0.25">
      <c r="D288" s="42"/>
    </row>
    <row r="289" spans="4:4" x14ac:dyDescent="0.25">
      <c r="D289" s="42"/>
    </row>
    <row r="290" spans="4:4" x14ac:dyDescent="0.25">
      <c r="D290" s="42"/>
    </row>
    <row r="291" spans="4:4" x14ac:dyDescent="0.25">
      <c r="D291" s="42"/>
    </row>
    <row r="292" spans="4:4" x14ac:dyDescent="0.25">
      <c r="D292" s="42"/>
    </row>
    <row r="293" spans="4:4" x14ac:dyDescent="0.25">
      <c r="D293" s="42"/>
    </row>
    <row r="294" spans="4:4" x14ac:dyDescent="0.25">
      <c r="D294" s="42"/>
    </row>
    <row r="295" spans="4:4" x14ac:dyDescent="0.25">
      <c r="D295" s="42"/>
    </row>
    <row r="296" spans="4:4" x14ac:dyDescent="0.25">
      <c r="D296" s="42"/>
    </row>
    <row r="297" spans="4:4" x14ac:dyDescent="0.25">
      <c r="D297" s="42"/>
    </row>
    <row r="298" spans="4:4" x14ac:dyDescent="0.25">
      <c r="D298" s="42"/>
    </row>
    <row r="299" spans="4:4" x14ac:dyDescent="0.25">
      <c r="D299" s="42"/>
    </row>
    <row r="300" spans="4:4" x14ac:dyDescent="0.25">
      <c r="D300" s="42"/>
    </row>
    <row r="301" spans="4:4" x14ac:dyDescent="0.25">
      <c r="D301" s="42"/>
    </row>
    <row r="302" spans="4:4" x14ac:dyDescent="0.25">
      <c r="D302" s="42"/>
    </row>
    <row r="303" spans="4:4" x14ac:dyDescent="0.25">
      <c r="D303" s="42"/>
    </row>
    <row r="304" spans="4:4" x14ac:dyDescent="0.25">
      <c r="D304" s="42"/>
    </row>
    <row r="305" spans="4:4" x14ac:dyDescent="0.25">
      <c r="D305" s="42"/>
    </row>
    <row r="306" spans="4:4" x14ac:dyDescent="0.25">
      <c r="D306" s="42"/>
    </row>
    <row r="307" spans="4:4" x14ac:dyDescent="0.25">
      <c r="D307" s="42"/>
    </row>
    <row r="308" spans="4:4" x14ac:dyDescent="0.25">
      <c r="D308" s="42"/>
    </row>
    <row r="309" spans="4:4" x14ac:dyDescent="0.25">
      <c r="D309" s="42"/>
    </row>
    <row r="310" spans="4:4" x14ac:dyDescent="0.25">
      <c r="D310" s="42"/>
    </row>
    <row r="311" spans="4:4" x14ac:dyDescent="0.25">
      <c r="D311" s="42"/>
    </row>
    <row r="312" spans="4:4" x14ac:dyDescent="0.25">
      <c r="D312" s="42"/>
    </row>
    <row r="313" spans="4:4" x14ac:dyDescent="0.25">
      <c r="D313" s="42"/>
    </row>
    <row r="314" spans="4:4" x14ac:dyDescent="0.25">
      <c r="D314" s="42"/>
    </row>
    <row r="315" spans="4:4" x14ac:dyDescent="0.25">
      <c r="D315" s="42"/>
    </row>
  </sheetData>
  <sheetProtection password="E2B3" sheet="1" objects="1" scenarios="1" selectLockedCells="1"/>
  <mergeCells count="24">
    <mergeCell ref="C4:H4"/>
    <mergeCell ref="C6:H6"/>
    <mergeCell ref="C8:H8"/>
    <mergeCell ref="C10:D10"/>
    <mergeCell ref="C13:D13"/>
    <mergeCell ref="B24:H24"/>
    <mergeCell ref="W26:X26"/>
    <mergeCell ref="B23:H23"/>
    <mergeCell ref="D15:F15"/>
    <mergeCell ref="C109:E109"/>
    <mergeCell ref="B32:H32"/>
    <mergeCell ref="B37:H37"/>
    <mergeCell ref="B40:H40"/>
    <mergeCell ref="B58:H58"/>
    <mergeCell ref="B65:H65"/>
    <mergeCell ref="B81:H81"/>
    <mergeCell ref="B82:H82"/>
    <mergeCell ref="B94:H94"/>
    <mergeCell ref="B29:C29"/>
    <mergeCell ref="C129:E129"/>
    <mergeCell ref="C113:E113"/>
    <mergeCell ref="C117:E117"/>
    <mergeCell ref="B123:H123"/>
    <mergeCell ref="C125:E125"/>
  </mergeCells>
  <conditionalFormatting sqref="D31">
    <cfRule type="expression" dxfId="18" priority="8">
      <formula>$B$23</formula>
    </cfRule>
  </conditionalFormatting>
  <conditionalFormatting sqref="D36">
    <cfRule type="expression" dxfId="17" priority="7">
      <formula>#REF!</formula>
    </cfRule>
  </conditionalFormatting>
  <conditionalFormatting sqref="D39">
    <cfRule type="expression" dxfId="16" priority="6">
      <formula>#REF!</formula>
    </cfRule>
  </conditionalFormatting>
  <conditionalFormatting sqref="M36">
    <cfRule type="expression" dxfId="15" priority="4">
      <formula>#REF!</formula>
    </cfRule>
  </conditionalFormatting>
  <conditionalFormatting sqref="M39">
    <cfRule type="expression" dxfId="14" priority="3">
      <formula>#REF!</formula>
    </cfRule>
  </conditionalFormatting>
  <conditionalFormatting sqref="D79">
    <cfRule type="expression" dxfId="13" priority="2">
      <formula>#REF!</formula>
    </cfRule>
  </conditionalFormatting>
  <conditionalFormatting sqref="M79">
    <cfRule type="expression" dxfId="12" priority="1">
      <formula>#REF!</formula>
    </cfRule>
  </conditionalFormatting>
  <dataValidations count="51">
    <dataValidation allowBlank="1" showInputMessage="1" showErrorMessage="1" prompt="Refere-se à quantidade total anual do fertilizante especificado na coluna a esquerda utilizada na área total (informada no campo &quot;Área total&quot;) dividida pela produção total de colmos (informada no campo &quot;Produção total&quot;). Deve ser reportada em base úmida." sqref="D64" xr:uid="{00000000-0002-0000-0D00-000000000000}"/>
    <dataValidation type="decimal" allowBlank="1" showInputMessage="1" showErrorMessage="1" error="Número inválido. " prompt="Refere-se ao percentual do volume de etanol anidro comercializado que é distribuido (distância percorrida da usina até o posto de combustível no Brasil) via sistema logístico &quot;Marítimo + Ferroviário +Rodoviário&quot;. " sqref="D126" xr:uid="{00000000-0002-0000-0D00-000001000000}">
      <formula1>0</formula1>
      <formula2>1</formula2>
    </dataValidation>
    <dataValidation allowBlank="1" showInputMessage="1" showErrorMessage="1" prompt="Esta é uma informação padrão (não penalizada) da RenovaCalc e não um campo de insersão de dados primários da unidade produtora." sqref="B123:H123" xr:uid="{00000000-0002-0000-0D00-000002000000}"/>
    <dataValidation type="decimal" allowBlank="1" showInputMessage="1" showErrorMessage="1" error="Número inválido. " prompt="Refere-se ao percentual do volume de etanol hidratado comercializado que é distribuido (distância percorrida da usina até o posto de combustível no Brasil) via sistema logístico &quot;Marítimo + Ferroviário +Rodoviário&quot;. " sqref="D130" xr:uid="{00000000-0002-0000-0D00-000003000000}">
      <formula1>0</formula1>
      <formula2>1</formula2>
    </dataValidation>
    <dataValidation type="decimal" allowBlank="1" showInputMessage="1" showErrorMessage="1" error="Número inválido. " prompt="Refere-se ao teor de umidade do milho processado." sqref="G83" xr:uid="{00000000-0002-0000-0D00-000004000000}">
      <formula1>0</formula1>
      <formula2>1</formula2>
    </dataValidation>
    <dataValidation type="list" allowBlank="1" showInputMessage="1" showErrorMessage="1" prompt="Defina o sistema de plantio realizado" sqref="D25" xr:uid="{00000000-0002-0000-0D00-000005000000}">
      <formula1>Sistema_Plantio</formula1>
    </dataValidation>
    <dataValidation type="list" allowBlank="1" showErrorMessage="1" sqref="C13:D13" xr:uid="{00000000-0002-0000-0D00-000006000000}">
      <formula1>Etanol</formula1>
    </dataValidation>
    <dataValidation type="custom" allowBlank="1" showInputMessage="1" showErrorMessage="1" error="Número inválido._x000a_" prompt="Informar o Poder Calorífico Inferior (PCI) do biogás." sqref="G106" xr:uid="{00000000-0002-0000-0D00-000007000000}">
      <formula1>IF(AND(G106&lt;=50,G106&gt;=30,G106=ROUND(G106,2)),G106,"")</formula1>
    </dataValidation>
    <dataValidation type="decimal" allowBlank="1" showInputMessage="1" showErrorMessage="1" error="Número inválido. " prompt="Refere-se ao teor médio de umidade do milho." sqref="G28" xr:uid="{00000000-0002-0000-0D00-000008000000}">
      <formula1>0</formula1>
      <formula2>1</formula2>
    </dataValidation>
    <dataValidation type="decimal" allowBlank="1" showInputMessage="1" showErrorMessage="1" error="Número inválido. " sqref="G68" xr:uid="{00000000-0002-0000-0D00-000009000000}">
      <formula1>0</formula1>
      <formula2>1</formula2>
    </dataValidation>
    <dataValidation type="decimal" allowBlank="1" showInputMessage="1" showErrorMessage="1" error="Número inválido." prompt="Teor de umidade:_x000a__x000a_Massa de água / Massa total" sqref="G88 D115 D119" xr:uid="{00000000-0002-0000-0D00-00000A000000}">
      <formula1>0</formula1>
      <formula2>1</formula2>
    </dataValidation>
    <dataValidation type="custom" allowBlank="1" showInputMessage="1" showErrorMessage="1" error="Número inválido." prompt="Informar o Poder Calorífico Inferior (PCI) do biogás." sqref="G105" xr:uid="{00000000-0002-0000-0D00-00000B000000}">
      <formula1>IF(AND(G105&lt;=50,G105&gt;=30,G105=ROUND(G105,2)),G105,"")</formula1>
    </dataValidation>
    <dataValidation allowBlank="1" showInputMessage="1" showErrorMessage="1" prompt="Esses dados devem ser preenchido de acordo com o resultado obtido na planilha de cadastro de produtores de biomassa." sqref="B23:H23" xr:uid="{00000000-0002-0000-0D00-00000C000000}"/>
    <dataValidation type="custom" allowBlank="1" showInputMessage="1" showErrorMessage="1" error="Número inválido. Podem ser preenchidos números com até duas casas decimais." prompt="Refere-se à área total da usina, ou seja, a soma das áreas de plantio e colheita. " sqref="D26 D43" xr:uid="{00000000-0002-0000-0D00-00000D000000}">
      <formula1>IF(AND(D26&gt;=0,D26=ROUND(D26,2)),D26,"")</formula1>
    </dataValidation>
    <dataValidation type="custom" allowBlank="1" showInputMessage="1" showErrorMessage="1" error="Número inválido. Podem ser preenchidos números com até duas casas decimais." prompt="Refere-se à quantidade total de produto produzido na área total de produção, informada no campo &quot;Área total&quot;" sqref="D28" xr:uid="{00000000-0002-0000-0D00-00000E000000}">
      <formula1>IF(AND(D28&gt;=0,D28=ROUND(D28,2)),D28,"")</formula1>
    </dataValidation>
    <dataValidation type="custom" allowBlank="1" showInputMessage="1" showErrorMessage="1" error="Número inválido. Podem ser preenchidos números com até duas casas decimais." prompt="Refere-se à quantidade total de produto produzido na área total de produção, informada no campo &quot;Área total&quot;." sqref="D30" xr:uid="{00000000-0002-0000-0D00-00000F000000}">
      <formula1>IF(AND(D30&gt;=0,D30=ROUND(D30,2)),D30,"")</formula1>
    </dataValidation>
    <dataValidation type="custom" allowBlank="1" showInputMessage="1" showErrorMessage="1" error="Número inválido. Podem ser preenchidos números com até duas casas decimais." prompt="Quantidade anual consumida de calcário calcítico na área total, dividida pelo valor informado no campo Produção Total." sqref="D33" xr:uid="{00000000-0002-0000-0D00-000010000000}">
      <formula1>IF(AND(D33&gt;=0,D33=ROUND(D33,2)),D33,"")</formula1>
    </dataValidation>
    <dataValidation type="custom" allowBlank="1" showInputMessage="1" showErrorMessage="1" error="Número inválido. Podem ser preenchidos números com até duas casas decimais." prompt="Quantidade anual consumida de calcário dolomítico na área total, dividida pelo valor informado no campo Produção Total." sqref="D34" xr:uid="{00000000-0002-0000-0D00-000011000000}">
      <formula1>IF(AND(D34&gt;=0,D34=ROUND(D34,2)),D34,"")</formula1>
    </dataValidation>
    <dataValidation type="custom" allowBlank="1" showInputMessage="1" showErrorMessage="1" error="Número inválido. Podem ser preenchidos números com até duas casas decimais." prompt="Quantidade anual consumida de gesso na área total, dividida pelo valor informado no campo Produção Total." sqref="D35" xr:uid="{00000000-0002-0000-0D00-000012000000}">
      <formula1>IF(AND(D35&gt;=0,D35=ROUND(D35,2)),D35,"")</formula1>
    </dataValidation>
    <dataValidation type="custom" allowBlank="1" showInputMessage="1" showErrorMessage="1" error="Número inválido. Podem ser preenchidos números com até duas casas decimais." prompt="Quantidade anual consumida de sementes na área total, dividida pelo valor informado no campo Produção Total." sqref="D38" xr:uid="{00000000-0002-0000-0D00-000013000000}">
      <formula1>IF(AND(D38&gt;=0,D38=ROUND(D38,2)),D38,"")</formula1>
    </dataValidation>
    <dataValidation type="custom" allowBlank="1" showInputMessage="1" showErrorMessage="1" error="Número inválido. Podem ser preenchidos números com até duas casas decimais." prompt="Quantidade anual consumida do elemento N por fonte na área total, dividida pelo valor informado no campo Produção Total." sqref="D41:D42 D44 D46:D50 D54" xr:uid="{00000000-0002-0000-0D00-000014000000}">
      <formula1>IF(AND(D41&gt;=0,D41=ROUND(D41,2)),D41,"")</formula1>
    </dataValidation>
    <dataValidation type="custom" allowBlank="1" showInputMessage="1" showErrorMessage="1" error="Número inválido. Podem ser preenchidos números com até duas casas decimais." prompt="Quantidade anual consumida de P₂O₅ por fonte na área total, dividida pelo valor informado no campo Produção Total._x000a_" sqref="D45 D51" xr:uid="{00000000-0002-0000-0D00-000015000000}">
      <formula1>IF(AND(D45&gt;=0,D45=ROUND(D45,2)),D45,"")</formula1>
    </dataValidation>
    <dataValidation type="custom" allowBlank="1" showInputMessage="1" showErrorMessage="1" error="Número inválido. Podem ser preenchidos números com até duas casas decimais." prompt="Quantidade anual consumida de P₂O₅ por fonte na área total, dividida pelo valor informado no campo Produção Total." sqref="D52 D55" xr:uid="{00000000-0002-0000-0D00-000016000000}">
      <formula1>IF(AND(D52&gt;=0,D52=ROUND(D52,2)),D52,"")</formula1>
    </dataValidation>
    <dataValidation type="custom" allowBlank="1" showInputMessage="1" showErrorMessage="1" error="Número inválido. Podem ser preenchidos números com até duas casas decimais." prompt="Quantidade anual consumida de K₂O por fonte na área total, dividida pelo valor informado no campo Produção Total " sqref="D53 D56" xr:uid="{00000000-0002-0000-0D00-000017000000}">
      <formula1>IF(AND(D53&gt;=0,D53=ROUND(D53,2)),D53,"")</formula1>
    </dataValidation>
    <dataValidation type="custom" allowBlank="1" showInputMessage="1" showErrorMessage="1" error="Número inválido. Podem ser preenchidos números com até duas casas decimais." prompt="Quantidade total anual do fertilizante especificado na coluna à esquerda utilizada na área total dividida pelo valor informado no campo Produção Total." sqref="D59:D63" xr:uid="{00000000-0002-0000-0D00-000018000000}">
      <formula1>IF(AND(D59&gt;=0,D59=ROUND(D59,2)),D59,"")</formula1>
    </dataValidation>
    <dataValidation type="custom" allowBlank="1" showInputMessage="1" showErrorMessage="1" error="Número inválido. Podem ser preenchidos números com até duas casas decimais." prompt="Informar a concentração de nitrogênio em cada fonte." sqref="G59:G63" xr:uid="{00000000-0002-0000-0D00-000019000000}">
      <formula1>IF(AND(G59&gt;=0,G59=ROUND(G59,2)),G59,"")</formula1>
    </dataValidation>
    <dataValidation type="custom" allowBlank="1" showInputMessage="1" showErrorMessage="1" error="Número inválido. Podem ser preenchidos números com até duas casas decimais." prompt="Quantidade total anual de combustíveis (soma do consumo nas operações agrícolas, irrigação, transportes de milho, deslocamento de pessoas, etc) na área total dividida pelo valor informado em Produção Total." sqref="D66:D77" xr:uid="{00000000-0002-0000-0D00-00001A000000}">
      <formula1>IF(AND(D66&gt;=0,D66=ROUND(D66,2)),D66,"")</formula1>
    </dataValidation>
    <dataValidation type="custom" allowBlank="1" showInputMessage="1" showErrorMessage="1" error="Número inválido. Podem ser preenchidos números com até duas casas decimais." prompt="Quantidade total anual de eletricidade consumida na área total dividida pelo valor informado no campo Produção Total." sqref="D78" xr:uid="{00000000-0002-0000-0D00-00001B000000}">
      <formula1>IF(AND(D78&gt;=0,D78=ROUND(D78,2)),D78,"")</formula1>
    </dataValidation>
    <dataValidation type="custom" allowBlank="1" showInputMessage="1" showErrorMessage="1" error="Número inválido. Podem ser preenchidos números com até duas casas decimais." prompt="Refere-se à quantidade total anual de grãos de milho processados." sqref="D83" xr:uid="{00000000-0002-0000-0D00-00001C000000}">
      <formula1>IF(AND(D83&gt;=0,D83=ROUND(D83,2)),D83,"")</formula1>
    </dataValidation>
    <dataValidation type="custom" allowBlank="1" showInputMessage="1" showErrorMessage="1" error="Número inválido. Podem ser preenchidos números com até duas casas decimais." prompt="Refere-se à distância média ponderada de transporte do milho que chega até a usina." sqref="D84" xr:uid="{00000000-0002-0000-0D00-00001D000000}">
      <formula1>IF(AND(D84&gt;=0,D84=ROUND(D84,2)),D84,"")</formula1>
    </dataValidation>
    <dataValidation type="custom" allowBlank="1" showInputMessage="1" showErrorMessage="1" error="Número inválido. Podem ser preenchidos números com até duas casas decimais." prompt="Refere-se ao volume total (corrigido para a temperatura de 20 °C) de etanol anidro produzido anualmente dividido pela quantidade de milho processado." sqref="D85:D86" xr:uid="{00000000-0002-0000-0D00-00001E000000}">
      <formula1>IF(AND(D85&gt;=0,D85=ROUND(D85,2)),D85,"")</formula1>
    </dataValidation>
    <dataValidation type="custom" allowBlank="1" showInputMessage="1" showErrorMessage="1" error="Número inválido. Podem ser preenchidos números com até duas casas decimais." prompt="Refere-se à quantidade total de eletricidade comercializada anualmente dividida pela quantidade de milho processado." sqref="D87" xr:uid="{00000000-0002-0000-0D00-00001F000000}">
      <formula1>IF(AND(D87&gt;=0,D87=ROUND(D87,2)),D87,"")</formula1>
    </dataValidation>
    <dataValidation type="custom" allowBlank="1" showInputMessage="1" showErrorMessage="1" error="Número inválido. Podem ser preenchidos números com até duas casas decimais." prompt="Refere-se à massa total de DDG produzido anualmente dividida pela quantidade total anual de milho processado. Deve ser reportado em base úmida." sqref="D88" xr:uid="{00000000-0002-0000-0D00-000020000000}">
      <formula1>IF(AND(D88&gt;=0,D88=ROUND(D88,2)),D88,"")</formula1>
    </dataValidation>
    <dataValidation type="custom" allowBlank="1" showInputMessage="1" showErrorMessage="1" error="Número inválido. Podem ser preenchidos números com até duas casas decimais." prompt="Refere-se à massa total de DDGS produzido anualmente dividida pela quantidade total anual de milho processado. Deve ser reportado em base úmida." sqref="D89" xr:uid="{00000000-0002-0000-0D00-000021000000}">
      <formula1>IF(AND(D89&gt;=0,D89=ROUND(D89,2)),D89,"")</formula1>
    </dataValidation>
    <dataValidation type="custom" allowBlank="1" showInputMessage="1" showErrorMessage="1" error="Número inválido. Podem ser preenchidos números com até duas casas decimais." prompt="Refere-se à massa total de CGM (farelo de milho) produzido anualmente dividida pela quantidade total anual de milho processado. Deve ser reportado em base úmida." sqref="D90" xr:uid="{00000000-0002-0000-0D00-000022000000}">
      <formula1>IF(AND(D90&gt;=0,D90=ROUND(D90,2)),D90,"")</formula1>
    </dataValidation>
    <dataValidation type="custom" allowBlank="1" showInputMessage="1" showErrorMessage="1" error="Número inválido. Podem ser preenchidos números com até duas casas decimais." prompt="Refere-se à massa total de CGF (proteína de milho) produzido anualmente dividida pela quantidade total anual de milho processado. Deve ser reportado em base úmida." sqref="D91" xr:uid="{00000000-0002-0000-0D00-000023000000}">
      <formula1>IF(AND(D91&gt;=0,D91=ROUND(D91,2)),D91,"")</formula1>
    </dataValidation>
    <dataValidation type="custom" allowBlank="1" showInputMessage="1" showErrorMessage="1" error="Número inválido. Podem ser preenchidos números com até duas casas decimais." prompt="Refere-se à massa total de Óleo de Milho produzido anualmente dividida pela quantidade total anual de milho processado." sqref="D92" xr:uid="{00000000-0002-0000-0D00-000024000000}">
      <formula1>IF(AND(D92&gt;=0,D92=ROUND(D92,2)),D92,"")</formula1>
    </dataValidation>
    <dataValidation type="custom" allowBlank="1" showInputMessage="1" showErrorMessage="1" error="Número inválido. Podem ser preenchidos números com até duas casas decimais." prompt="Informe a quantidade total anual de eletricidade da rede consumida dividida pela quantidade total anual de milho processado." sqref="D95" xr:uid="{00000000-0002-0000-0D00-000025000000}">
      <formula1>IF(AND(D95&gt;=0,D95=ROUND(D95,2)),D95,"")</formula1>
    </dataValidation>
    <dataValidation type="custom" allowBlank="1" showInputMessage="1" showErrorMessage="1" error="Número inválido. Podem ser preenchidos números com até duas casas decimais." prompt="Refere-se ao consumo total anual de combustíveis, por fonte, dividido pela quantidade total anual de grãos processados." sqref="D96:D106" xr:uid="{00000000-0002-0000-0D00-000026000000}">
      <formula1>IF(AND(D96&gt;=0,D96=ROUND(D96,2)),D96,"")</formula1>
    </dataValidation>
    <dataValidation type="custom" allowBlank="1" showInputMessage="1" showErrorMessage="1" error="Número inválido. Podem ser preenchidos números com até duas casas decimais." prompt="Informe a quantidade total anual de gás natural consumido dividido pela quantidade total anual de milho processado." sqref="D107" xr:uid="{00000000-0002-0000-0D00-000027000000}">
      <formula1>IF(AND(D107&gt;=0,D107=ROUND(D107,2)),D107,"")</formula1>
    </dataValidation>
    <dataValidation type="custom" allowBlank="1" showInputMessage="1" showErrorMessage="1" error="Número inválido. Podem ser preenchidos números com até duas casas decimais." prompt="Informe a quantidade total anual de calor consumido na forma de carvão dividido pela quantidade total anual de milho processado." sqref="D108" xr:uid="{00000000-0002-0000-0D00-000028000000}">
      <formula1>IF(AND(D108&gt;=0,D108=ROUND(D108,2)),D108,"")</formula1>
    </dataValidation>
    <dataValidation type="custom" allowBlank="1" showInputMessage="1" showErrorMessage="1" error="Número inválido. Podem ser preenchidos números com até duas casas decimais." prompt="Refere-se à quantidade total anual de cavaco adquirido pela usina e utilizado para geração de vapor/eletricidade, dividido pela quantidade de milho processado. Deve ser reportado em base úmida." sqref="D110" xr:uid="{00000000-0002-0000-0D00-000029000000}">
      <formula1>IF(AND(D110&gt;=0,D110=ROUND(D110,2)),D110,"")</formula1>
    </dataValidation>
    <dataValidation type="custom" allowBlank="1" showInputMessage="1" showErrorMessage="1" error="Número inválido. Podem ser preenchidos números com até duas casas decimais." prompt="Refere-se à distância média ponderada de transporte do cavaco de madeira entre o fornecedor e a usina." sqref="D112" xr:uid="{00000000-0002-0000-0D00-00002A000000}">
      <formula1>IF(AND(D112&gt;=0,D112=ROUND(D112,2)),D112,"")</formula1>
    </dataValidation>
    <dataValidation type="custom" allowBlank="1" showInputMessage="1" showErrorMessage="1" error="Número inválido. Podem ser preenchidos números com até duas casas decimais." prompt="Refere-se à quantidade total anual de lenha adquirida pela usina e utilizado para geração de vapor/eletricidade, dividido pela quantidade de milho processado. Deve ser reportada em base úmida." sqref="D114" xr:uid="{00000000-0002-0000-0D00-00002B000000}">
      <formula1>IF(AND(D114&gt;=0,D114=ROUND(D114,2)),D114,"")</formula1>
    </dataValidation>
    <dataValidation type="custom" allowBlank="1" showInputMessage="1" showErrorMessage="1" error="Número inválido. Podem ser preenchidos números com até duas casas decimais." prompt="Refere-se à distância média ponderada de transporte da lenha entre o fornecedor e a usina." sqref="D116" xr:uid="{00000000-0002-0000-0D00-00002C000000}">
      <formula1>IF(AND(D116&gt;=0,D116=ROUND(D116,2)),D116,"")</formula1>
    </dataValidation>
    <dataValidation type="custom" allowBlank="1" showInputMessage="1" showErrorMessage="1" error="Número inválido. Podem ser preenchidos números com até duas casas decimais." prompt="Refere-se à quantidade total anual de resíduos florestais adquiridos pela usina e utilizado para geração de vapor/eletricidade, dividido pela quantidade de milh processado. Deve ser reportado em base úmida." sqref="D118" xr:uid="{00000000-0002-0000-0D00-00002D000000}">
      <formula1>IF(AND(D118&gt;=0,D118=ROUND(D118,2)),D118,"")</formula1>
    </dataValidation>
    <dataValidation type="custom" allowBlank="1" showInputMessage="1" showErrorMessage="1" error="Número inválido. Podem ser preenchidos números com até duas casas decimais." prompt="Refere-se à distância média ponderada de transporte dos resíduos florestais entre o fornecedor e a usina." sqref="D120" xr:uid="{00000000-0002-0000-0D00-00002E000000}">
      <formula1>IF(AND(D120&gt;=0,D120=ROUND(D120,2)),D120,"")</formula1>
    </dataValidation>
    <dataValidation type="decimal" allowBlank="1" showInputMessage="1" showErrorMessage="1" error="Número inválido. " prompt="Refere-se à área total da usina, ou seja, a soma das áreas de plantio e colheita. " sqref="G89:G91" xr:uid="{00000000-0002-0000-0D00-00002F000000}">
      <formula1>0</formula1>
      <formula2>1</formula2>
    </dataValidation>
    <dataValidation type="decimal" allowBlank="1" showInputMessage="1" showErrorMessage="1" error="Número inválido." sqref="G98" xr:uid="{00000000-0002-0000-0D00-000030000000}">
      <formula1>0</formula1>
      <formula2>1</formula2>
    </dataValidation>
    <dataValidation type="decimal" allowBlank="1" showInputMessage="1" showErrorMessage="1" error="Número inválido. " prompt="Teor de umidade:_x000a__x000a_Massa de água / Massa total" sqref="D111" xr:uid="{00000000-0002-0000-0D00-000031000000}">
      <formula1>0</formula1>
      <formula2>1</formula2>
    </dataValidation>
    <dataValidation allowBlank="1" showErrorMessage="1" sqref="D29 G29" xr:uid="{00000000-0002-0000-0D00-000032000000}"/>
  </dataValidations>
  <pageMargins left="0.511811024" right="0.511811024" top="0.78740157499999996" bottom="0.78740157499999996" header="0.31496062000000002" footer="0.31496062000000002"/>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23">
    <tabColor rgb="FF2D70C9"/>
  </sheetPr>
  <dimension ref="A1:T160"/>
  <sheetViews>
    <sheetView showGridLines="0" workbookViewId="0">
      <selection activeCell="C4" sqref="C4:D4"/>
    </sheetView>
  </sheetViews>
  <sheetFormatPr defaultColWidth="9.140625" defaultRowHeight="15" outlineLevelRow="1" x14ac:dyDescent="0.25"/>
  <cols>
    <col min="1" max="1" width="5.7109375" style="5" customWidth="1"/>
    <col min="2" max="2" width="50.7109375" style="5" customWidth="1"/>
    <col min="3" max="3" width="15.7109375" style="5" customWidth="1"/>
    <col min="4" max="4" width="15.7109375" style="11" customWidth="1"/>
    <col min="5" max="6" width="15.7109375" style="5" customWidth="1"/>
    <col min="7" max="7" width="2.7109375" style="5" customWidth="1"/>
    <col min="8" max="8" width="18.28515625" style="11" customWidth="1"/>
    <col min="9" max="9" width="18.28515625" style="11" bestFit="1" customWidth="1"/>
    <col min="10" max="10" width="20" style="5" customWidth="1"/>
    <col min="11" max="11" width="15.85546875" style="5" bestFit="1" customWidth="1"/>
    <col min="12" max="12" width="18" style="5" bestFit="1" customWidth="1"/>
    <col min="13" max="13" width="11" style="5" bestFit="1" customWidth="1"/>
    <col min="14" max="14" width="13" style="5" bestFit="1" customWidth="1"/>
    <col min="15" max="15" width="15.85546875" style="5" bestFit="1" customWidth="1"/>
    <col min="16" max="16" width="9.140625" style="5" bestFit="1" customWidth="1"/>
    <col min="17" max="17" width="8.5703125" style="5" bestFit="1" customWidth="1"/>
    <col min="18" max="18" width="11.28515625" style="5" bestFit="1" customWidth="1"/>
    <col min="19" max="16384" width="9.140625" style="5"/>
  </cols>
  <sheetData>
    <row r="1" spans="2:12" s="10" customFormat="1" ht="17.25" customHeight="1" x14ac:dyDescent="0.25">
      <c r="L1" s="4"/>
    </row>
    <row r="2" spans="2:12" s="10" customFormat="1" ht="18.75" x14ac:dyDescent="0.25">
      <c r="B2" s="741" t="s">
        <v>537</v>
      </c>
      <c r="C2" s="741"/>
      <c r="D2" s="741"/>
      <c r="E2" s="741"/>
      <c r="F2" s="741"/>
      <c r="G2" s="453"/>
      <c r="L2" s="4"/>
    </row>
    <row r="3" spans="2:12" s="10" customFormat="1" ht="17.25" customHeight="1" x14ac:dyDescent="0.25">
      <c r="B3" s="279"/>
      <c r="C3" s="739" t="s">
        <v>179</v>
      </c>
      <c r="D3" s="739"/>
      <c r="E3" s="739" t="s">
        <v>177</v>
      </c>
      <c r="F3" s="739"/>
      <c r="G3" s="583"/>
    </row>
    <row r="4" spans="2:12" s="10" customFormat="1" ht="17.25" customHeight="1" x14ac:dyDescent="0.25">
      <c r="B4" s="307" t="s">
        <v>536</v>
      </c>
      <c r="C4" s="738" t="e">
        <f>C5+C6+C7+C8</f>
        <v>#DIV/0!</v>
      </c>
      <c r="D4" s="738"/>
      <c r="E4" s="738" t="e">
        <f>E5+E6+E7+E8</f>
        <v>#DIV/0!</v>
      </c>
      <c r="F4" s="738"/>
      <c r="G4" s="584"/>
    </row>
    <row r="5" spans="2:12" s="10" customFormat="1" x14ac:dyDescent="0.25">
      <c r="B5" s="273" t="s">
        <v>180</v>
      </c>
      <c r="C5" s="237" t="e">
        <f>$H$87</f>
        <v>#DIV/0!</v>
      </c>
      <c r="D5" s="258" t="e">
        <f>C5/$C$4</f>
        <v>#DIV/0!</v>
      </c>
      <c r="E5" s="237" t="e">
        <f>$I$87</f>
        <v>#DIV/0!</v>
      </c>
      <c r="F5" s="258" t="e">
        <f>E5/$E$4</f>
        <v>#DIV/0!</v>
      </c>
      <c r="G5" s="585"/>
    </row>
    <row r="6" spans="2:12" s="10" customFormat="1" x14ac:dyDescent="0.25">
      <c r="B6" s="273" t="s">
        <v>181</v>
      </c>
      <c r="C6" s="237" t="e">
        <f>$H$143-$H$105</f>
        <v>#DIV/0!</v>
      </c>
      <c r="D6" s="258" t="e">
        <f t="shared" ref="D6:D8" si="0">C6/$C$4</f>
        <v>#DIV/0!</v>
      </c>
      <c r="E6" s="237" t="e">
        <f>$I$143-$I$105</f>
        <v>#DIV/0!</v>
      </c>
      <c r="F6" s="258" t="e">
        <f t="shared" ref="F6:F8" si="1">E6/$E$4</f>
        <v>#DIV/0!</v>
      </c>
      <c r="G6" s="585"/>
    </row>
    <row r="7" spans="2:12" s="10" customFormat="1" x14ac:dyDescent="0.25">
      <c r="B7" s="273" t="s">
        <v>170</v>
      </c>
      <c r="C7" s="237" t="e">
        <f>$D$159</f>
        <v>#DIV/0!</v>
      </c>
      <c r="D7" s="258" t="e">
        <f t="shared" si="0"/>
        <v>#DIV/0!</v>
      </c>
      <c r="E7" s="237" t="e">
        <f>$E$159</f>
        <v>#VALUE!</v>
      </c>
      <c r="F7" s="258" t="e">
        <f t="shared" si="1"/>
        <v>#VALUE!</v>
      </c>
      <c r="G7" s="585"/>
    </row>
    <row r="8" spans="2:12" s="10" customFormat="1" x14ac:dyDescent="0.25">
      <c r="B8" s="273" t="s">
        <v>63</v>
      </c>
      <c r="C8" s="237">
        <f>'FE''s queima combustíveis'!$I$7</f>
        <v>0.43899999999999995</v>
      </c>
      <c r="D8" s="258" t="e">
        <f t="shared" si="0"/>
        <v>#DIV/0!</v>
      </c>
      <c r="E8" s="237">
        <f>'FE''s queima combustíveis'!$I$8</f>
        <v>0.66300000000000003</v>
      </c>
      <c r="F8" s="258" t="e">
        <f t="shared" si="1"/>
        <v>#DIV/0!</v>
      </c>
      <c r="G8" s="585"/>
    </row>
    <row r="9" spans="2:12" s="10" customFormat="1" x14ac:dyDescent="0.25"/>
    <row r="10" spans="2:12" s="10" customFormat="1" x14ac:dyDescent="0.25"/>
    <row r="11" spans="2:12" s="66" customFormat="1" ht="18.75" x14ac:dyDescent="0.25">
      <c r="B11" s="741" t="s">
        <v>609</v>
      </c>
      <c r="C11" s="741"/>
      <c r="D11" s="741"/>
      <c r="E11" s="741"/>
      <c r="F11" s="741"/>
      <c r="G11" s="453"/>
      <c r="H11" s="740" t="s">
        <v>936</v>
      </c>
      <c r="I11" s="740" t="s">
        <v>937</v>
      </c>
    </row>
    <row r="12" spans="2:12" s="10" customFormat="1" ht="18" x14ac:dyDescent="0.25">
      <c r="B12" s="279" t="s">
        <v>510</v>
      </c>
      <c r="C12" s="306"/>
      <c r="D12" s="306" t="s">
        <v>51</v>
      </c>
      <c r="E12" s="306" t="s">
        <v>610</v>
      </c>
      <c r="F12" s="306"/>
      <c r="G12" s="583"/>
      <c r="H12" s="740"/>
      <c r="I12" s="740"/>
    </row>
    <row r="13" spans="2:12" s="10" customFormat="1" x14ac:dyDescent="0.25">
      <c r="B13" s="273" t="s">
        <v>612</v>
      </c>
      <c r="C13" s="273" t="s">
        <v>1</v>
      </c>
      <c r="D13" s="247" t="e">
        <f>E1GMI!D28/E1GMI!D26*1000</f>
        <v>#DIV/0!</v>
      </c>
      <c r="E13" s="232">
        <v>1000</v>
      </c>
      <c r="F13" s="233"/>
      <c r="G13" s="586"/>
      <c r="H13" s="740"/>
      <c r="I13" s="740"/>
    </row>
    <row r="14" spans="2:12" s="10" customFormat="1" ht="18" x14ac:dyDescent="0.25">
      <c r="B14" s="281" t="s">
        <v>511</v>
      </c>
      <c r="C14" s="306"/>
      <c r="D14" s="306" t="s">
        <v>51</v>
      </c>
      <c r="E14" s="306" t="s">
        <v>610</v>
      </c>
      <c r="F14" s="283" t="s">
        <v>613</v>
      </c>
      <c r="G14" s="272"/>
      <c r="H14" s="740"/>
      <c r="I14" s="740"/>
    </row>
    <row r="15" spans="2:12" s="51" customFormat="1" x14ac:dyDescent="0.25">
      <c r="B15" s="273" t="s">
        <v>413</v>
      </c>
      <c r="C15" s="273" t="s">
        <v>36</v>
      </c>
      <c r="D15" s="232">
        <v>1</v>
      </c>
      <c r="E15" s="235" t="e">
        <f>(D15*E13)/D13</f>
        <v>#DIV/0!</v>
      </c>
      <c r="F15" s="236" t="s">
        <v>5</v>
      </c>
      <c r="G15" s="588"/>
      <c r="H15" s="740"/>
      <c r="I15" s="740"/>
    </row>
    <row r="16" spans="2:12" s="51" customFormat="1" ht="18" x14ac:dyDescent="0.25">
      <c r="B16" s="281" t="s">
        <v>60</v>
      </c>
      <c r="C16" s="306"/>
      <c r="D16" s="306" t="s">
        <v>51</v>
      </c>
      <c r="E16" s="306" t="s">
        <v>610</v>
      </c>
      <c r="F16" s="283" t="s">
        <v>613</v>
      </c>
      <c r="G16" s="272"/>
      <c r="H16" s="283" t="s">
        <v>535</v>
      </c>
      <c r="I16" s="283" t="s">
        <v>535</v>
      </c>
    </row>
    <row r="17" spans="2:9" s="8" customFormat="1" x14ac:dyDescent="0.25">
      <c r="B17" s="273" t="s">
        <v>34</v>
      </c>
      <c r="C17" s="273" t="s">
        <v>1</v>
      </c>
      <c r="D17" s="232"/>
      <c r="E17" s="237">
        <f>E1GMI!D38</f>
        <v>0</v>
      </c>
      <c r="F17" s="238">
        <f>E17*'Dados auxiliares'!$H$75</f>
        <v>0</v>
      </c>
      <c r="G17" s="590"/>
      <c r="H17" s="550" t="e">
        <f>(F17/$E$92)*$F$92</f>
        <v>#DIV/0!</v>
      </c>
      <c r="I17" s="550" t="e">
        <f>(F17/$E$93)*$F$93</f>
        <v>#DIV/0!</v>
      </c>
    </row>
    <row r="18" spans="2:9" s="8" customFormat="1" x14ac:dyDescent="0.25">
      <c r="B18" s="273" t="s">
        <v>20</v>
      </c>
      <c r="C18" s="273" t="s">
        <v>1</v>
      </c>
      <c r="D18" s="361">
        <v>602</v>
      </c>
      <c r="E18" s="237" t="e">
        <f>D18*$E$15/$D$15</f>
        <v>#DIV/0!</v>
      </c>
      <c r="F18" s="238" t="e">
        <f>E18*'Dados auxiliares'!$H$83</f>
        <v>#DIV/0!</v>
      </c>
      <c r="G18" s="590"/>
      <c r="H18" s="550" t="e">
        <f>(F18/$E$92)*$F$92</f>
        <v>#DIV/0!</v>
      </c>
      <c r="I18" s="550" t="e">
        <f t="shared" ref="I18:I81" si="2">(F18/$E$93)*$F$93</f>
        <v>#DIV/0!</v>
      </c>
    </row>
    <row r="19" spans="2:9" x14ac:dyDescent="0.25">
      <c r="B19" s="284" t="s">
        <v>419</v>
      </c>
      <c r="C19" s="285"/>
      <c r="D19" s="285"/>
      <c r="E19" s="286"/>
      <c r="F19" s="287"/>
      <c r="G19" s="589"/>
      <c r="H19" s="287"/>
      <c r="I19" s="287"/>
    </row>
    <row r="20" spans="2:9" s="8" customFormat="1" x14ac:dyDescent="0.25">
      <c r="B20" s="273" t="s">
        <v>164</v>
      </c>
      <c r="C20" s="273" t="s">
        <v>1</v>
      </c>
      <c r="D20" s="232"/>
      <c r="E20" s="237">
        <f>E1GMI!D33</f>
        <v>0</v>
      </c>
      <c r="F20" s="238">
        <f>E20*'Dados auxiliares'!$H$52</f>
        <v>0</v>
      </c>
      <c r="G20" s="590"/>
      <c r="H20" s="550" t="e">
        <f t="shared" ref="H20:H39" si="3">(F20/$E$92)*$F$92</f>
        <v>#DIV/0!</v>
      </c>
      <c r="I20" s="550" t="e">
        <f t="shared" si="2"/>
        <v>#DIV/0!</v>
      </c>
    </row>
    <row r="21" spans="2:9" s="8" customFormat="1" x14ac:dyDescent="0.25">
      <c r="B21" s="273" t="s">
        <v>163</v>
      </c>
      <c r="C21" s="273" t="s">
        <v>1</v>
      </c>
      <c r="D21" s="232"/>
      <c r="E21" s="237">
        <f>E1GMI!D34</f>
        <v>0</v>
      </c>
      <c r="F21" s="238">
        <f>E21*'Dados auxiliares'!$H$53</f>
        <v>0</v>
      </c>
      <c r="G21" s="590"/>
      <c r="H21" s="550" t="e">
        <f t="shared" si="3"/>
        <v>#DIV/0!</v>
      </c>
      <c r="I21" s="550" t="e">
        <f t="shared" si="2"/>
        <v>#DIV/0!</v>
      </c>
    </row>
    <row r="22" spans="2:9" s="8" customFormat="1" x14ac:dyDescent="0.25">
      <c r="B22" s="273" t="s">
        <v>28</v>
      </c>
      <c r="C22" s="273" t="s">
        <v>1</v>
      </c>
      <c r="D22" s="232"/>
      <c r="E22" s="237">
        <f>E1GMI!D35</f>
        <v>0</v>
      </c>
      <c r="F22" s="238">
        <f>E22*'Dados auxiliares'!$H$54</f>
        <v>0</v>
      </c>
      <c r="G22" s="590"/>
      <c r="H22" s="550" t="e">
        <f t="shared" si="3"/>
        <v>#DIV/0!</v>
      </c>
      <c r="I22" s="550" t="e">
        <f t="shared" si="2"/>
        <v>#DIV/0!</v>
      </c>
    </row>
    <row r="23" spans="2:9" s="8" customFormat="1" x14ac:dyDescent="0.25">
      <c r="B23" s="273" t="s">
        <v>393</v>
      </c>
      <c r="C23" s="273" t="s">
        <v>409</v>
      </c>
      <c r="D23" s="232"/>
      <c r="E23" s="237">
        <f>E1GMI!D41</f>
        <v>0</v>
      </c>
      <c r="F23" s="238">
        <f>E23*'Dados auxiliares'!$H$55</f>
        <v>0</v>
      </c>
      <c r="G23" s="590"/>
      <c r="H23" s="550" t="e">
        <f t="shared" si="3"/>
        <v>#DIV/0!</v>
      </c>
      <c r="I23" s="550" t="e">
        <f t="shared" si="2"/>
        <v>#DIV/0!</v>
      </c>
    </row>
    <row r="24" spans="2:9" s="8" customFormat="1" x14ac:dyDescent="0.25">
      <c r="B24" s="273" t="s">
        <v>551</v>
      </c>
      <c r="C24" s="273" t="s">
        <v>409</v>
      </c>
      <c r="D24" s="232"/>
      <c r="E24" s="237">
        <f>E1GMI!D42</f>
        <v>0</v>
      </c>
      <c r="F24" s="238">
        <f>E24*'Dados auxiliares'!$H$56</f>
        <v>0</v>
      </c>
      <c r="G24" s="590"/>
      <c r="H24" s="550" t="e">
        <f t="shared" si="3"/>
        <v>#DIV/0!</v>
      </c>
      <c r="I24" s="550" t="e">
        <f t="shared" si="2"/>
        <v>#DIV/0!</v>
      </c>
    </row>
    <row r="25" spans="2:9" s="8" customFormat="1" x14ac:dyDescent="0.25">
      <c r="B25" s="273" t="s">
        <v>558</v>
      </c>
      <c r="C25" s="273" t="s">
        <v>410</v>
      </c>
      <c r="D25" s="232"/>
      <c r="E25" s="237">
        <f>E1GMI!D43</f>
        <v>0</v>
      </c>
      <c r="F25" s="238">
        <f>E25*'Dados auxiliares'!$H$57</f>
        <v>0</v>
      </c>
      <c r="G25" s="590"/>
      <c r="H25" s="550" t="e">
        <f t="shared" si="3"/>
        <v>#DIV/0!</v>
      </c>
      <c r="I25" s="550" t="e">
        <f t="shared" si="2"/>
        <v>#DIV/0!</v>
      </c>
    </row>
    <row r="26" spans="2:9" s="8" customFormat="1" x14ac:dyDescent="0.25">
      <c r="B26" s="273" t="s">
        <v>553</v>
      </c>
      <c r="C26" s="273" t="s">
        <v>409</v>
      </c>
      <c r="D26" s="232"/>
      <c r="E26" s="237">
        <f>E1GMI!D44</f>
        <v>0</v>
      </c>
      <c r="F26" s="238">
        <f>E26*'Dados auxiliares'!$H$58</f>
        <v>0</v>
      </c>
      <c r="G26" s="590"/>
      <c r="H26" s="550" t="e">
        <f t="shared" si="3"/>
        <v>#DIV/0!</v>
      </c>
      <c r="I26" s="550" t="e">
        <f t="shared" si="2"/>
        <v>#DIV/0!</v>
      </c>
    </row>
    <row r="27" spans="2:9" s="8" customFormat="1" x14ac:dyDescent="0.25">
      <c r="B27" s="273" t="s">
        <v>559</v>
      </c>
      <c r="C27" s="273" t="s">
        <v>410</v>
      </c>
      <c r="D27" s="232"/>
      <c r="E27" s="237">
        <f>E1GMI!D45</f>
        <v>0</v>
      </c>
      <c r="F27" s="238">
        <f>E27*'Dados auxiliares'!$H$59</f>
        <v>0</v>
      </c>
      <c r="G27" s="590"/>
      <c r="H27" s="550" t="e">
        <f t="shared" si="3"/>
        <v>#DIV/0!</v>
      </c>
      <c r="I27" s="550" t="e">
        <f t="shared" si="2"/>
        <v>#DIV/0!</v>
      </c>
    </row>
    <row r="28" spans="2:9" s="8" customFormat="1" x14ac:dyDescent="0.25">
      <c r="B28" s="273" t="s">
        <v>554</v>
      </c>
      <c r="C28" s="273" t="s">
        <v>409</v>
      </c>
      <c r="D28" s="232"/>
      <c r="E28" s="237">
        <f>E1GMI!D46</f>
        <v>0</v>
      </c>
      <c r="F28" s="238">
        <f>E28*'Dados auxiliares'!$H$60</f>
        <v>0</v>
      </c>
      <c r="G28" s="590"/>
      <c r="H28" s="550" t="e">
        <f t="shared" si="3"/>
        <v>#DIV/0!</v>
      </c>
      <c r="I28" s="550" t="e">
        <f t="shared" si="2"/>
        <v>#DIV/0!</v>
      </c>
    </row>
    <row r="29" spans="2:9" s="8" customFormat="1" x14ac:dyDescent="0.25">
      <c r="B29" s="273" t="s">
        <v>555</v>
      </c>
      <c r="C29" s="273" t="s">
        <v>409</v>
      </c>
      <c r="D29" s="232"/>
      <c r="E29" s="237">
        <f>E1GMI!D47</f>
        <v>0</v>
      </c>
      <c r="F29" s="238">
        <f>E29*'Dados auxiliares'!$H$61</f>
        <v>0</v>
      </c>
      <c r="G29" s="590"/>
      <c r="H29" s="550" t="e">
        <f t="shared" si="3"/>
        <v>#DIV/0!</v>
      </c>
      <c r="I29" s="550" t="e">
        <f t="shared" si="2"/>
        <v>#DIV/0!</v>
      </c>
    </row>
    <row r="30" spans="2:9" s="8" customFormat="1" x14ac:dyDescent="0.25">
      <c r="B30" s="273" t="s">
        <v>399</v>
      </c>
      <c r="C30" s="273" t="s">
        <v>409</v>
      </c>
      <c r="D30" s="232"/>
      <c r="E30" s="237">
        <f>E1GMI!D48</f>
        <v>0</v>
      </c>
      <c r="F30" s="238">
        <f>E30*'Dados auxiliares'!$H$62</f>
        <v>0</v>
      </c>
      <c r="G30" s="590"/>
      <c r="H30" s="550" t="e">
        <f t="shared" si="3"/>
        <v>#DIV/0!</v>
      </c>
      <c r="I30" s="550" t="e">
        <f t="shared" si="2"/>
        <v>#DIV/0!</v>
      </c>
    </row>
    <row r="31" spans="2:9" s="8" customFormat="1" x14ac:dyDescent="0.25">
      <c r="B31" s="273" t="s">
        <v>556</v>
      </c>
      <c r="C31" s="273" t="s">
        <v>409</v>
      </c>
      <c r="D31" s="232"/>
      <c r="E31" s="237">
        <f>E1GMI!D49</f>
        <v>0</v>
      </c>
      <c r="F31" s="238">
        <f>E31*'Dados auxiliares'!$H$63</f>
        <v>0</v>
      </c>
      <c r="G31" s="590"/>
      <c r="H31" s="550" t="e">
        <f t="shared" si="3"/>
        <v>#DIV/0!</v>
      </c>
      <c r="I31" s="550" t="e">
        <f t="shared" si="2"/>
        <v>#DIV/0!</v>
      </c>
    </row>
    <row r="32" spans="2:9" s="8" customFormat="1" x14ac:dyDescent="0.25">
      <c r="B32" s="273" t="s">
        <v>557</v>
      </c>
      <c r="C32" s="273" t="s">
        <v>409</v>
      </c>
      <c r="D32" s="232"/>
      <c r="E32" s="237">
        <f>E1GMI!D50</f>
        <v>0</v>
      </c>
      <c r="F32" s="238">
        <f>E32*'Dados auxiliares'!$H$64</f>
        <v>0</v>
      </c>
      <c r="G32" s="590"/>
      <c r="H32" s="550" t="e">
        <f t="shared" si="3"/>
        <v>#DIV/0!</v>
      </c>
      <c r="I32" s="550" t="e">
        <f t="shared" si="2"/>
        <v>#DIV/0!</v>
      </c>
    </row>
    <row r="33" spans="2:9" s="8" customFormat="1" x14ac:dyDescent="0.25">
      <c r="B33" s="273" t="s">
        <v>560</v>
      </c>
      <c r="C33" s="273" t="s">
        <v>410</v>
      </c>
      <c r="D33" s="241"/>
      <c r="E33" s="237">
        <f>E1GMI!D51</f>
        <v>0</v>
      </c>
      <c r="F33" s="242">
        <f>E33*'Dados auxiliares'!$H$66</f>
        <v>0</v>
      </c>
      <c r="G33" s="591"/>
      <c r="H33" s="550" t="e">
        <f t="shared" si="3"/>
        <v>#DIV/0!</v>
      </c>
      <c r="I33" s="550" t="e">
        <f t="shared" si="2"/>
        <v>#DIV/0!</v>
      </c>
    </row>
    <row r="34" spans="2:9" s="8" customFormat="1" x14ac:dyDescent="0.25">
      <c r="B34" s="273" t="s">
        <v>561</v>
      </c>
      <c r="C34" s="273" t="s">
        <v>410</v>
      </c>
      <c r="D34" s="241"/>
      <c r="E34" s="237">
        <f>E1GMI!D52</f>
        <v>0</v>
      </c>
      <c r="F34" s="242">
        <f>E34*'Dados auxiliares'!$H$67</f>
        <v>0</v>
      </c>
      <c r="G34" s="591"/>
      <c r="H34" s="550" t="e">
        <f t="shared" si="3"/>
        <v>#DIV/0!</v>
      </c>
      <c r="I34" s="550" t="e">
        <f t="shared" si="2"/>
        <v>#DIV/0!</v>
      </c>
    </row>
    <row r="35" spans="2:9" s="8" customFormat="1" x14ac:dyDescent="0.25">
      <c r="B35" s="273" t="s">
        <v>562</v>
      </c>
      <c r="C35" s="273" t="s">
        <v>411</v>
      </c>
      <c r="D35" s="232"/>
      <c r="E35" s="237">
        <f>E1GMI!D53</f>
        <v>0</v>
      </c>
      <c r="F35" s="238">
        <f>E35*'Dados auxiliares'!H$68</f>
        <v>0</v>
      </c>
      <c r="G35" s="590"/>
      <c r="H35" s="550" t="e">
        <f t="shared" si="3"/>
        <v>#DIV/0!</v>
      </c>
      <c r="I35" s="550" t="e">
        <f t="shared" si="2"/>
        <v>#DIV/0!</v>
      </c>
    </row>
    <row r="36" spans="2:9" s="8" customFormat="1" x14ac:dyDescent="0.25">
      <c r="B36" s="273" t="s">
        <v>256</v>
      </c>
      <c r="C36" s="273" t="s">
        <v>409</v>
      </c>
      <c r="D36" s="232"/>
      <c r="E36" s="237">
        <f>E1GMI!D54</f>
        <v>0</v>
      </c>
      <c r="F36" s="238">
        <f>E36*'Dados auxiliares'!H$69</f>
        <v>0</v>
      </c>
      <c r="G36" s="590"/>
      <c r="H36" s="550" t="e">
        <f t="shared" si="3"/>
        <v>#DIV/0!</v>
      </c>
      <c r="I36" s="550" t="e">
        <f t="shared" si="2"/>
        <v>#DIV/0!</v>
      </c>
    </row>
    <row r="37" spans="2:9" s="8" customFormat="1" x14ac:dyDescent="0.25">
      <c r="B37" s="273" t="s">
        <v>404</v>
      </c>
      <c r="C37" s="273" t="s">
        <v>410</v>
      </c>
      <c r="D37" s="241"/>
      <c r="E37" s="237">
        <f>E1GMI!D55</f>
        <v>0</v>
      </c>
      <c r="F37" s="238">
        <f>E37*'Dados auxiliares'!H$70</f>
        <v>0</v>
      </c>
      <c r="G37" s="590"/>
      <c r="H37" s="550" t="e">
        <f t="shared" si="3"/>
        <v>#DIV/0!</v>
      </c>
      <c r="I37" s="550" t="e">
        <f t="shared" si="2"/>
        <v>#DIV/0!</v>
      </c>
    </row>
    <row r="38" spans="2:9" s="8" customFormat="1" x14ac:dyDescent="0.25">
      <c r="B38" s="273" t="s">
        <v>405</v>
      </c>
      <c r="C38" s="273" t="s">
        <v>411</v>
      </c>
      <c r="D38" s="232"/>
      <c r="E38" s="237">
        <f>E1GMI!D56</f>
        <v>0</v>
      </c>
      <c r="F38" s="238">
        <f>E38*'Dados auxiliares'!H$71</f>
        <v>0</v>
      </c>
      <c r="G38" s="590"/>
      <c r="H38" s="550" t="e">
        <f t="shared" si="3"/>
        <v>#DIV/0!</v>
      </c>
      <c r="I38" s="550" t="e">
        <f t="shared" si="2"/>
        <v>#DIV/0!</v>
      </c>
    </row>
    <row r="39" spans="2:9" s="8" customFormat="1" x14ac:dyDescent="0.25">
      <c r="B39" s="273" t="s">
        <v>406</v>
      </c>
      <c r="C39" s="273" t="s">
        <v>1</v>
      </c>
      <c r="D39" s="232"/>
      <c r="E39" s="237">
        <f>SUM(E1GMI!D59:D63)</f>
        <v>0</v>
      </c>
      <c r="F39" s="314">
        <v>0</v>
      </c>
      <c r="G39" s="614"/>
      <c r="H39" s="550" t="e">
        <f t="shared" si="3"/>
        <v>#DIV/0!</v>
      </c>
      <c r="I39" s="550" t="e">
        <f t="shared" si="2"/>
        <v>#DIV/0!</v>
      </c>
    </row>
    <row r="40" spans="2:9" x14ac:dyDescent="0.25">
      <c r="B40" s="284" t="s">
        <v>340</v>
      </c>
      <c r="C40" s="285"/>
      <c r="D40" s="285"/>
      <c r="E40" s="288"/>
      <c r="F40" s="289"/>
      <c r="G40" s="593"/>
      <c r="H40" s="287"/>
      <c r="I40" s="287"/>
    </row>
    <row r="41" spans="2:9" x14ac:dyDescent="0.25">
      <c r="B41" s="273" t="s">
        <v>214</v>
      </c>
      <c r="C41" s="273" t="s">
        <v>1</v>
      </c>
      <c r="D41" s="246">
        <f>SUM(D42:D59)</f>
        <v>4.0067465003383447</v>
      </c>
      <c r="E41" s="246" t="e">
        <f>SUM(E42:E59)</f>
        <v>#DIV/0!</v>
      </c>
      <c r="F41" s="247" t="e">
        <f>SUM(F42:F59)</f>
        <v>#DIV/0!</v>
      </c>
      <c r="G41" s="594"/>
      <c r="H41" s="551" t="e">
        <f>(F41/$E$92)*$F$92</f>
        <v>#DIV/0!</v>
      </c>
      <c r="I41" s="551" t="e">
        <f t="shared" si="2"/>
        <v>#DIV/0!</v>
      </c>
    </row>
    <row r="42" spans="2:9" outlineLevel="1" x14ac:dyDescent="0.25">
      <c r="B42" s="273" t="s">
        <v>32</v>
      </c>
      <c r="C42" s="273" t="s">
        <v>1</v>
      </c>
      <c r="D42" s="245">
        <v>0.75187392980081791</v>
      </c>
      <c r="E42" s="237" t="e">
        <f>D42*$E$15</f>
        <v>#DIV/0!</v>
      </c>
      <c r="F42" s="238" t="e">
        <f>E42*'Dados auxiliares'!$H$72</f>
        <v>#DIV/0!</v>
      </c>
      <c r="G42" s="590"/>
      <c r="H42" s="550"/>
      <c r="I42" s="550"/>
    </row>
    <row r="43" spans="2:9" outlineLevel="1" x14ac:dyDescent="0.25">
      <c r="B43" s="273" t="s">
        <v>78</v>
      </c>
      <c r="C43" s="273" t="s">
        <v>1</v>
      </c>
      <c r="D43" s="245">
        <v>2.0932993027155846</v>
      </c>
      <c r="E43" s="237" t="e">
        <f t="shared" ref="E43:E58" si="4">D43*$E$15</f>
        <v>#DIV/0!</v>
      </c>
      <c r="F43" s="238" t="e">
        <f>E43*'Dados auxiliares'!$H$74</f>
        <v>#DIV/0!</v>
      </c>
      <c r="G43" s="590"/>
      <c r="H43" s="550"/>
      <c r="I43" s="550"/>
    </row>
    <row r="44" spans="2:9" outlineLevel="1" x14ac:dyDescent="0.25">
      <c r="B44" s="273" t="s">
        <v>79</v>
      </c>
      <c r="C44" s="273" t="s">
        <v>1</v>
      </c>
      <c r="D44" s="245">
        <v>2.36375297890494E-3</v>
      </c>
      <c r="E44" s="237" t="e">
        <f t="shared" si="4"/>
        <v>#DIV/0!</v>
      </c>
      <c r="F44" s="238" t="e">
        <f>E44*'Dados auxiliares'!$H$74</f>
        <v>#DIV/0!</v>
      </c>
      <c r="G44" s="590"/>
      <c r="H44" s="550"/>
      <c r="I44" s="550"/>
    </row>
    <row r="45" spans="2:9" outlineLevel="1" x14ac:dyDescent="0.25">
      <c r="B45" s="273" t="s">
        <v>80</v>
      </c>
      <c r="C45" s="273" t="s">
        <v>1</v>
      </c>
      <c r="D45" s="245">
        <v>1.8326164347288825E-2</v>
      </c>
      <c r="E45" s="237" t="e">
        <f t="shared" si="4"/>
        <v>#DIV/0!</v>
      </c>
      <c r="F45" s="238" t="e">
        <f>E45*'Dados auxiliares'!$H$74</f>
        <v>#DIV/0!</v>
      </c>
      <c r="G45" s="590"/>
      <c r="H45" s="550"/>
      <c r="I45" s="550"/>
    </row>
    <row r="46" spans="2:9" outlineLevel="1" x14ac:dyDescent="0.25">
      <c r="B46" s="273" t="s">
        <v>81</v>
      </c>
      <c r="C46" s="273" t="s">
        <v>1</v>
      </c>
      <c r="D46" s="245">
        <v>5.5545470593427286E-3</v>
      </c>
      <c r="E46" s="237" t="e">
        <f t="shared" si="4"/>
        <v>#DIV/0!</v>
      </c>
      <c r="F46" s="238" t="e">
        <f>E46*'Dados auxiliares'!$H$74</f>
        <v>#DIV/0!</v>
      </c>
      <c r="G46" s="590"/>
      <c r="H46" s="550"/>
      <c r="I46" s="550"/>
    </row>
    <row r="47" spans="2:9" outlineLevel="1" x14ac:dyDescent="0.25">
      <c r="B47" s="273" t="s">
        <v>82</v>
      </c>
      <c r="C47" s="273" t="s">
        <v>1</v>
      </c>
      <c r="D47" s="245">
        <v>1.1075833357851068E-2</v>
      </c>
      <c r="E47" s="237" t="e">
        <f t="shared" si="4"/>
        <v>#DIV/0!</v>
      </c>
      <c r="F47" s="238" t="e">
        <f>E47*'Dados auxiliares'!$H$74</f>
        <v>#DIV/0!</v>
      </c>
      <c r="G47" s="590"/>
      <c r="H47" s="550"/>
      <c r="I47" s="550"/>
    </row>
    <row r="48" spans="2:9" outlineLevel="1" x14ac:dyDescent="0.25">
      <c r="B48" s="273" t="s">
        <v>76</v>
      </c>
      <c r="C48" s="273" t="s">
        <v>1</v>
      </c>
      <c r="D48" s="245">
        <v>3.1056518285327604E-2</v>
      </c>
      <c r="E48" s="237" t="e">
        <f t="shared" si="4"/>
        <v>#DIV/0!</v>
      </c>
      <c r="F48" s="238" t="e">
        <f>E48*'Dados auxiliares'!$H$74</f>
        <v>#DIV/0!</v>
      </c>
      <c r="G48" s="590"/>
      <c r="H48" s="550"/>
      <c r="I48" s="550"/>
    </row>
    <row r="49" spans="2:9" outlineLevel="1" x14ac:dyDescent="0.25">
      <c r="B49" s="273" t="s">
        <v>77</v>
      </c>
      <c r="C49" s="273" t="s">
        <v>1</v>
      </c>
      <c r="D49" s="245">
        <v>9.1630821736444126E-3</v>
      </c>
      <c r="E49" s="237" t="e">
        <f t="shared" si="4"/>
        <v>#DIV/0!</v>
      </c>
      <c r="F49" s="238" t="e">
        <f>E49*'Dados auxiliares'!$H$74</f>
        <v>#DIV/0!</v>
      </c>
      <c r="G49" s="590"/>
      <c r="H49" s="550"/>
      <c r="I49" s="550"/>
    </row>
    <row r="50" spans="2:9" outlineLevel="1" x14ac:dyDescent="0.25">
      <c r="B50" s="273" t="s">
        <v>74</v>
      </c>
      <c r="C50" s="273" t="s">
        <v>1</v>
      </c>
      <c r="D50" s="245">
        <v>1.1264232545823649E-2</v>
      </c>
      <c r="E50" s="237" t="e">
        <f t="shared" si="4"/>
        <v>#DIV/0!</v>
      </c>
      <c r="F50" s="238" t="e">
        <f>E50*'Dados auxiliares'!$H$74</f>
        <v>#DIV/0!</v>
      </c>
      <c r="G50" s="590"/>
      <c r="H50" s="550"/>
      <c r="I50" s="550"/>
    </row>
    <row r="51" spans="2:9" outlineLevel="1" x14ac:dyDescent="0.25">
      <c r="B51" s="273" t="s">
        <v>75</v>
      </c>
      <c r="C51" s="273" t="s">
        <v>1</v>
      </c>
      <c r="D51" s="245">
        <v>1.2422607314131043E-2</v>
      </c>
      <c r="E51" s="237" t="e">
        <f t="shared" si="4"/>
        <v>#DIV/0!</v>
      </c>
      <c r="F51" s="238" t="e">
        <f>E51*'Dados auxiliares'!$H$74</f>
        <v>#DIV/0!</v>
      </c>
      <c r="G51" s="590"/>
      <c r="H51" s="550"/>
      <c r="I51" s="550"/>
    </row>
    <row r="52" spans="2:9" outlineLevel="1" x14ac:dyDescent="0.25">
      <c r="B52" s="273" t="s">
        <v>83</v>
      </c>
      <c r="C52" s="273" t="s">
        <v>1</v>
      </c>
      <c r="D52" s="245">
        <v>0.16669375386154345</v>
      </c>
      <c r="E52" s="237" t="e">
        <f t="shared" si="4"/>
        <v>#DIV/0!</v>
      </c>
      <c r="F52" s="238" t="e">
        <f>E52*'Dados auxiliares'!$H$74</f>
        <v>#DIV/0!</v>
      </c>
      <c r="G52" s="590"/>
      <c r="H52" s="550"/>
      <c r="I52" s="550"/>
    </row>
    <row r="53" spans="2:9" outlineLevel="1" x14ac:dyDescent="0.25">
      <c r="B53" s="273" t="s">
        <v>73</v>
      </c>
      <c r="C53" s="273" t="s">
        <v>1</v>
      </c>
      <c r="D53" s="245">
        <v>9.9529583100414848E-2</v>
      </c>
      <c r="E53" s="237" t="e">
        <f t="shared" si="4"/>
        <v>#DIV/0!</v>
      </c>
      <c r="F53" s="238" t="e">
        <f>E53*'Dados auxiliares'!$H$74</f>
        <v>#DIV/0!</v>
      </c>
      <c r="G53" s="590"/>
      <c r="H53" s="550"/>
      <c r="I53" s="550"/>
    </row>
    <row r="54" spans="2:9" outlineLevel="1" x14ac:dyDescent="0.25">
      <c r="B54" s="273" t="s">
        <v>2</v>
      </c>
      <c r="C54" s="273" t="s">
        <v>1</v>
      </c>
      <c r="D54" s="245">
        <v>6.649568978198829E-2</v>
      </c>
      <c r="E54" s="237" t="e">
        <f t="shared" si="4"/>
        <v>#DIV/0!</v>
      </c>
      <c r="F54" s="238" t="e">
        <f>E54*'Dados auxiliares'!$H$74</f>
        <v>#DIV/0!</v>
      </c>
      <c r="G54" s="590"/>
      <c r="H54" s="550"/>
      <c r="I54" s="550"/>
    </row>
    <row r="55" spans="2:9" outlineLevel="1" x14ac:dyDescent="0.25">
      <c r="B55" s="273" t="s">
        <v>72</v>
      </c>
      <c r="C55" s="273" t="s">
        <v>1</v>
      </c>
      <c r="D55" s="245">
        <v>5.0786136691282468E-3</v>
      </c>
      <c r="E55" s="237" t="e">
        <f t="shared" si="4"/>
        <v>#DIV/0!</v>
      </c>
      <c r="F55" s="238" t="e">
        <f>E55*'Dados auxiliares'!$H$74</f>
        <v>#DIV/0!</v>
      </c>
      <c r="G55" s="590"/>
      <c r="H55" s="550"/>
      <c r="I55" s="550"/>
    </row>
    <row r="56" spans="2:9" outlineLevel="1" x14ac:dyDescent="0.25">
      <c r="B56" s="273" t="s">
        <v>70</v>
      </c>
      <c r="C56" s="273" t="s">
        <v>1</v>
      </c>
      <c r="D56" s="245">
        <v>3.9458648386242615E-3</v>
      </c>
      <c r="E56" s="237" t="e">
        <f t="shared" si="4"/>
        <v>#DIV/0!</v>
      </c>
      <c r="F56" s="238" t="e">
        <f>E56*'Dados auxiliares'!$H$74</f>
        <v>#DIV/0!</v>
      </c>
      <c r="G56" s="590"/>
      <c r="H56" s="550"/>
      <c r="I56" s="550"/>
    </row>
    <row r="57" spans="2:9" outlineLevel="1" x14ac:dyDescent="0.25">
      <c r="B57" s="273" t="s">
        <v>71</v>
      </c>
      <c r="C57" s="273" t="s">
        <v>1</v>
      </c>
      <c r="D57" s="245">
        <v>1.6362646738650741E-3</v>
      </c>
      <c r="E57" s="237" t="e">
        <f t="shared" si="4"/>
        <v>#DIV/0!</v>
      </c>
      <c r="F57" s="238" t="e">
        <f>E57*'Dados auxiliares'!$H$74</f>
        <v>#DIV/0!</v>
      </c>
      <c r="G57" s="590"/>
      <c r="H57" s="550"/>
      <c r="I57" s="550"/>
    </row>
    <row r="58" spans="2:9" outlineLevel="1" x14ac:dyDescent="0.25">
      <c r="B58" s="273" t="s">
        <v>69</v>
      </c>
      <c r="C58" s="273" t="s">
        <v>1</v>
      </c>
      <c r="D58" s="245">
        <v>0.14463274588837566</v>
      </c>
      <c r="E58" s="237" t="e">
        <f t="shared" si="4"/>
        <v>#DIV/0!</v>
      </c>
      <c r="F58" s="238" t="e">
        <f>E58*'Dados auxiliares'!$H$74</f>
        <v>#DIV/0!</v>
      </c>
      <c r="G58" s="590"/>
      <c r="H58" s="550"/>
      <c r="I58" s="550"/>
    </row>
    <row r="59" spans="2:9" outlineLevel="1" x14ac:dyDescent="0.25">
      <c r="B59" s="273" t="s">
        <v>68</v>
      </c>
      <c r="C59" s="273" t="s">
        <v>1</v>
      </c>
      <c r="D59" s="245">
        <v>0.57233401394568828</v>
      </c>
      <c r="E59" s="237" t="e">
        <f>D59*$E$15</f>
        <v>#DIV/0!</v>
      </c>
      <c r="F59" s="238" t="e">
        <f>E59*'Dados auxiliares'!$H$74</f>
        <v>#DIV/0!</v>
      </c>
      <c r="G59" s="590"/>
      <c r="H59" s="550"/>
      <c r="I59" s="550"/>
    </row>
    <row r="60" spans="2:9" x14ac:dyDescent="0.25">
      <c r="B60" s="284" t="s">
        <v>243</v>
      </c>
      <c r="C60" s="285"/>
      <c r="D60" s="285"/>
      <c r="E60" s="288"/>
      <c r="F60" s="289"/>
      <c r="G60" s="593"/>
      <c r="H60" s="287"/>
      <c r="I60" s="287"/>
    </row>
    <row r="61" spans="2:9" x14ac:dyDescent="0.25">
      <c r="B61" s="273" t="s">
        <v>309</v>
      </c>
      <c r="C61" s="273" t="s">
        <v>1</v>
      </c>
      <c r="D61" s="232"/>
      <c r="E61" s="237">
        <f>(E1GMI!$D$66*(1-0.08)+E1GMI!$D$67*(1-0.1)+E1GMI!$D$68*(1-E1GMI!$G$68)+E1GMI!$D$69*(1-0.2)+E1GMI!$D$70*(1-0.3)+E1GMI!$D$71*(1-1))*('Dados auxiliares'!$D$26)</f>
        <v>0</v>
      </c>
      <c r="F61" s="238">
        <f>E61*'Dados auxiliares'!$H$116</f>
        <v>0</v>
      </c>
      <c r="G61" s="590"/>
      <c r="H61" s="550" t="e">
        <f t="shared" ref="H61:H69" si="5">(F61/$E$92)*$F$92</f>
        <v>#DIV/0!</v>
      </c>
      <c r="I61" s="550" t="e">
        <f t="shared" si="2"/>
        <v>#DIV/0!</v>
      </c>
    </row>
    <row r="62" spans="2:9" x14ac:dyDescent="0.25">
      <c r="B62" s="273" t="s">
        <v>187</v>
      </c>
      <c r="C62" s="273" t="s">
        <v>1</v>
      </c>
      <c r="D62" s="232"/>
      <c r="E62" s="237">
        <f>(E1GMI!$D$66*(0.08)+E1GMI!$D$67*(0.1)+E1GMI!$D$68*(E1GMI!$G$68)+E1GMI!$D$69*(0.2)+E1GMI!$D$70*(0.3)+E1GMI!$D$71*(1))*('Dados auxiliares'!$D$17)</f>
        <v>0</v>
      </c>
      <c r="F62" s="238">
        <f>E62*'Dados auxiliares'!$H$117</f>
        <v>0</v>
      </c>
      <c r="G62" s="590"/>
      <c r="H62" s="550" t="e">
        <f t="shared" si="5"/>
        <v>#DIV/0!</v>
      </c>
      <c r="I62" s="550" t="e">
        <f t="shared" si="2"/>
        <v>#DIV/0!</v>
      </c>
    </row>
    <row r="63" spans="2:9" x14ac:dyDescent="0.25">
      <c r="B63" s="273" t="s">
        <v>188</v>
      </c>
      <c r="C63" s="273" t="s">
        <v>1</v>
      </c>
      <c r="D63" s="232"/>
      <c r="E63" s="237">
        <f>E1GMI!$D$72*(1-'FE''s queima combustíveis'!$D$19)*'Dados auxiliares'!$D$24</f>
        <v>0</v>
      </c>
      <c r="F63" s="238">
        <f>E63*'Dados auxiliares'!$H$120</f>
        <v>0</v>
      </c>
      <c r="G63" s="590"/>
      <c r="H63" s="550" t="e">
        <f t="shared" si="5"/>
        <v>#DIV/0!</v>
      </c>
      <c r="I63" s="550" t="e">
        <f t="shared" si="2"/>
        <v>#DIV/0!</v>
      </c>
    </row>
    <row r="64" spans="2:9" x14ac:dyDescent="0.25">
      <c r="B64" s="273" t="s">
        <v>45</v>
      </c>
      <c r="C64" s="273" t="s">
        <v>1</v>
      </c>
      <c r="D64" s="232"/>
      <c r="E64" s="237">
        <f>E1GMI!$D$72*('FE''s queima combustíveis'!$D$19)*'Dados auxiliares'!$D$15</f>
        <v>0</v>
      </c>
      <c r="F64" s="238">
        <f>E64*'Dados auxiliares'!$H$121</f>
        <v>0</v>
      </c>
      <c r="G64" s="590"/>
      <c r="H64" s="550" t="e">
        <f t="shared" si="5"/>
        <v>#DIV/0!</v>
      </c>
      <c r="I64" s="550" t="e">
        <f t="shared" si="2"/>
        <v>#DIV/0!</v>
      </c>
    </row>
    <row r="65" spans="1:20" x14ac:dyDescent="0.25">
      <c r="B65" s="273" t="s">
        <v>46</v>
      </c>
      <c r="C65" s="273" t="s">
        <v>1</v>
      </c>
      <c r="D65" s="232"/>
      <c r="E65" s="237">
        <f>E1GMI!$D$73*'Dados auxiliares'!$D$16</f>
        <v>0</v>
      </c>
      <c r="F65" s="238">
        <f>E65*'Dados auxiliares'!$H$122</f>
        <v>0</v>
      </c>
      <c r="G65" s="590"/>
      <c r="H65" s="550" t="e">
        <f t="shared" si="5"/>
        <v>#DIV/0!</v>
      </c>
      <c r="I65" s="550" t="e">
        <f t="shared" si="2"/>
        <v>#DIV/0!</v>
      </c>
    </row>
    <row r="66" spans="1:20" s="11" customFormat="1" x14ac:dyDescent="0.25">
      <c r="A66" s="5"/>
      <c r="B66" s="273" t="s">
        <v>468</v>
      </c>
      <c r="C66" s="273" t="s">
        <v>169</v>
      </c>
      <c r="D66" s="232"/>
      <c r="E66" s="237">
        <f>E1GMI!D74</f>
        <v>0</v>
      </c>
      <c r="F66" s="238">
        <f>E66*('Dados auxiliares'!$D$18*1000)*'Dados auxiliares'!$F$18*'Dados auxiliares'!$H$125</f>
        <v>0</v>
      </c>
      <c r="G66" s="590"/>
      <c r="H66" s="550" t="e">
        <f t="shared" si="5"/>
        <v>#DIV/0!</v>
      </c>
      <c r="I66" s="550" t="e">
        <f t="shared" si="2"/>
        <v>#DIV/0!</v>
      </c>
      <c r="J66" s="5"/>
      <c r="K66" s="5"/>
      <c r="L66" s="5"/>
      <c r="M66" s="5"/>
      <c r="N66" s="5"/>
      <c r="O66" s="5"/>
      <c r="P66" s="5"/>
      <c r="Q66" s="5"/>
      <c r="R66" s="5"/>
      <c r="S66" s="5"/>
      <c r="T66" s="5"/>
    </row>
    <row r="67" spans="1:20" s="11" customFormat="1" x14ac:dyDescent="0.25">
      <c r="A67" s="5"/>
      <c r="B67" s="273" t="s">
        <v>103</v>
      </c>
      <c r="C67" s="273" t="s">
        <v>169</v>
      </c>
      <c r="D67" s="232"/>
      <c r="E67" s="237">
        <f>E1GMI!D76</f>
        <v>0</v>
      </c>
      <c r="F67" s="238">
        <f>E67*'Dados auxiliares'!$H$115</f>
        <v>0</v>
      </c>
      <c r="G67" s="590"/>
      <c r="H67" s="550" t="e">
        <f t="shared" si="5"/>
        <v>#DIV/0!</v>
      </c>
      <c r="I67" s="550" t="e">
        <f t="shared" si="2"/>
        <v>#DIV/0!</v>
      </c>
      <c r="J67" s="5"/>
      <c r="K67" s="5"/>
      <c r="L67" s="5"/>
      <c r="M67" s="5"/>
      <c r="N67" s="5"/>
      <c r="O67" s="5"/>
      <c r="P67" s="5"/>
      <c r="Q67" s="5"/>
      <c r="R67" s="5"/>
      <c r="S67" s="5"/>
      <c r="T67" s="5"/>
    </row>
    <row r="68" spans="1:20" s="11" customFormat="1" x14ac:dyDescent="0.25">
      <c r="A68" s="5"/>
      <c r="B68" s="273" t="s">
        <v>635</v>
      </c>
      <c r="C68" s="273" t="s">
        <v>1</v>
      </c>
      <c r="D68" s="232"/>
      <c r="E68" s="237">
        <f>E1GMI!D77*'Dados auxiliares'!$D$29</f>
        <v>0</v>
      </c>
      <c r="F68" s="238">
        <f>E68*'Dados auxiliares'!$H$119</f>
        <v>0</v>
      </c>
      <c r="G68" s="590"/>
      <c r="H68" s="550" t="e">
        <f t="shared" si="5"/>
        <v>#DIV/0!</v>
      </c>
      <c r="I68" s="550" t="e">
        <f t="shared" si="2"/>
        <v>#DIV/0!</v>
      </c>
      <c r="J68" s="5"/>
      <c r="K68" s="5"/>
      <c r="L68" s="5"/>
      <c r="M68" s="5"/>
      <c r="N68" s="5"/>
      <c r="O68" s="5"/>
      <c r="P68" s="5"/>
      <c r="Q68" s="5"/>
      <c r="R68" s="5"/>
      <c r="S68" s="5"/>
      <c r="T68" s="5"/>
    </row>
    <row r="69" spans="1:20" s="11" customFormat="1" x14ac:dyDescent="0.25">
      <c r="A69" s="5"/>
      <c r="B69" s="273" t="s">
        <v>636</v>
      </c>
      <c r="C69" s="273" t="s">
        <v>57</v>
      </c>
      <c r="D69" s="232"/>
      <c r="E69" s="237">
        <f>E1GMI!D78</f>
        <v>0</v>
      </c>
      <c r="F69" s="238">
        <f>E69*'Dados auxiliares'!$H$113</f>
        <v>0</v>
      </c>
      <c r="G69" s="590"/>
      <c r="H69" s="550" t="e">
        <f t="shared" si="5"/>
        <v>#DIV/0!</v>
      </c>
      <c r="I69" s="550" t="e">
        <f t="shared" si="2"/>
        <v>#DIV/0!</v>
      </c>
      <c r="J69" s="5"/>
      <c r="K69" s="5"/>
      <c r="L69" s="5"/>
      <c r="M69" s="5"/>
      <c r="N69" s="5"/>
      <c r="O69" s="5"/>
      <c r="P69" s="5"/>
      <c r="Q69" s="5"/>
      <c r="R69" s="5"/>
      <c r="S69" s="5"/>
      <c r="T69" s="5"/>
    </row>
    <row r="70" spans="1:20" s="11" customFormat="1" ht="18" x14ac:dyDescent="0.25">
      <c r="A70" s="5"/>
      <c r="B70" s="281" t="s">
        <v>52</v>
      </c>
      <c r="C70" s="306"/>
      <c r="D70" s="306" t="s">
        <v>51</v>
      </c>
      <c r="E70" s="306" t="s">
        <v>610</v>
      </c>
      <c r="F70" s="283" t="s">
        <v>613</v>
      </c>
      <c r="G70" s="272"/>
      <c r="H70" s="283" t="s">
        <v>535</v>
      </c>
      <c r="I70" s="283" t="s">
        <v>535</v>
      </c>
      <c r="J70" s="5"/>
      <c r="K70" s="5"/>
      <c r="L70" s="5"/>
      <c r="M70" s="5"/>
      <c r="N70" s="5"/>
      <c r="O70" s="5"/>
      <c r="P70" s="5"/>
      <c r="Q70" s="5"/>
      <c r="R70" s="5"/>
      <c r="S70" s="5"/>
      <c r="T70" s="5"/>
    </row>
    <row r="71" spans="1:20" s="11" customFormat="1" ht="18" x14ac:dyDescent="0.25">
      <c r="A71" s="5"/>
      <c r="B71" s="273" t="s">
        <v>567</v>
      </c>
      <c r="C71" s="273" t="s">
        <v>1</v>
      </c>
      <c r="D71" s="237" t="e">
        <f>'_Emissões Agrícolas'!$I$54</f>
        <v>#DIV/0!</v>
      </c>
      <c r="E71" s="237" t="e">
        <f>D71*$E$15</f>
        <v>#DIV/0!</v>
      </c>
      <c r="F71" s="238" t="e">
        <f>E71*1000*'Dados auxiliares'!$D$9</f>
        <v>#DIV/0!</v>
      </c>
      <c r="G71" s="590"/>
      <c r="H71" s="550" t="e">
        <f t="shared" ref="H71:H83" si="6">(F71/$E$92)*$F$92</f>
        <v>#DIV/0!</v>
      </c>
      <c r="I71" s="550" t="e">
        <f t="shared" si="2"/>
        <v>#DIV/0!</v>
      </c>
      <c r="J71" s="5"/>
      <c r="K71" s="5"/>
      <c r="L71" s="5"/>
      <c r="M71" s="5"/>
      <c r="N71" s="5"/>
      <c r="O71" s="5"/>
      <c r="P71" s="5"/>
      <c r="Q71" s="5"/>
      <c r="R71" s="5"/>
      <c r="S71" s="5"/>
      <c r="T71" s="5"/>
    </row>
    <row r="72" spans="1:20" s="11" customFormat="1" ht="18" x14ac:dyDescent="0.25">
      <c r="A72" s="5"/>
      <c r="B72" s="273" t="s">
        <v>568</v>
      </c>
      <c r="C72" s="273" t="s">
        <v>1</v>
      </c>
      <c r="D72" s="237" t="e">
        <f>'_Emissões Agrícolas'!$I$58</f>
        <v>#DIV/0!</v>
      </c>
      <c r="E72" s="237" t="e">
        <f t="shared" ref="E72:E73" si="7">D72*$E$15</f>
        <v>#DIV/0!</v>
      </c>
      <c r="F72" s="238" t="e">
        <f>E72*1000*'Dados auxiliares'!$D$9</f>
        <v>#DIV/0!</v>
      </c>
      <c r="G72" s="590"/>
      <c r="H72" s="550" t="e">
        <f t="shared" si="6"/>
        <v>#DIV/0!</v>
      </c>
      <c r="I72" s="550" t="e">
        <f t="shared" si="2"/>
        <v>#DIV/0!</v>
      </c>
      <c r="J72" s="5"/>
      <c r="K72" s="5"/>
      <c r="L72" s="5"/>
      <c r="M72" s="5"/>
      <c r="N72" s="5"/>
      <c r="O72" s="5"/>
      <c r="P72" s="5"/>
      <c r="Q72" s="5"/>
      <c r="R72" s="5"/>
      <c r="S72" s="5"/>
      <c r="T72" s="5"/>
    </row>
    <row r="73" spans="1:20" s="11" customFormat="1" ht="18" x14ac:dyDescent="0.25">
      <c r="A73" s="5"/>
      <c r="B73" s="273" t="s">
        <v>569</v>
      </c>
      <c r="C73" s="273" t="s">
        <v>1</v>
      </c>
      <c r="D73" s="237" t="e">
        <f>'_Emissões Agrícolas'!$I$62</f>
        <v>#DIV/0!</v>
      </c>
      <c r="E73" s="237" t="e">
        <f t="shared" si="7"/>
        <v>#DIV/0!</v>
      </c>
      <c r="F73" s="238" t="e">
        <f>E73*1000*'Dados auxiliares'!$D$9</f>
        <v>#DIV/0!</v>
      </c>
      <c r="G73" s="590"/>
      <c r="H73" s="550" t="e">
        <f t="shared" si="6"/>
        <v>#DIV/0!</v>
      </c>
      <c r="I73" s="550" t="e">
        <f t="shared" si="2"/>
        <v>#DIV/0!</v>
      </c>
      <c r="J73" s="5"/>
      <c r="K73" s="5"/>
      <c r="L73" s="5"/>
      <c r="M73" s="5"/>
      <c r="N73" s="5"/>
      <c r="O73" s="5"/>
      <c r="P73" s="5"/>
      <c r="Q73" s="5"/>
      <c r="R73" s="5"/>
      <c r="S73" s="5"/>
      <c r="T73" s="5"/>
    </row>
    <row r="74" spans="1:20" s="11" customFormat="1" ht="18" x14ac:dyDescent="0.25">
      <c r="A74" s="5"/>
      <c r="B74" s="273" t="s">
        <v>438</v>
      </c>
      <c r="C74" s="273" t="s">
        <v>1</v>
      </c>
      <c r="D74" s="237"/>
      <c r="E74" s="237">
        <f>$E$20*'_Emissões Agrícolas'!$E$79+$E$21*'_Emissões Agrícolas'!$E$80</f>
        <v>0</v>
      </c>
      <c r="F74" s="238">
        <f>E74*1000</f>
        <v>0</v>
      </c>
      <c r="G74" s="590"/>
      <c r="H74" s="550" t="e">
        <f t="shared" si="6"/>
        <v>#DIV/0!</v>
      </c>
      <c r="I74" s="550" t="e">
        <f t="shared" si="2"/>
        <v>#DIV/0!</v>
      </c>
      <c r="J74" s="5"/>
      <c r="K74" s="5"/>
      <c r="L74" s="5"/>
      <c r="M74" s="5"/>
      <c r="N74" s="5"/>
      <c r="O74" s="5"/>
      <c r="P74" s="5"/>
      <c r="Q74" s="5"/>
      <c r="R74" s="5"/>
      <c r="S74" s="5"/>
      <c r="T74" s="5"/>
    </row>
    <row r="75" spans="1:20" s="11" customFormat="1" ht="18" x14ac:dyDescent="0.25">
      <c r="A75" s="5"/>
      <c r="B75" s="273" t="s">
        <v>439</v>
      </c>
      <c r="C75" s="273" t="s">
        <v>1</v>
      </c>
      <c r="D75" s="237"/>
      <c r="E75" s="237">
        <f>$E$23*'_Emissões Agrícolas'!$E$81</f>
        <v>0</v>
      </c>
      <c r="F75" s="238">
        <f>E75*1000</f>
        <v>0</v>
      </c>
      <c r="G75" s="590"/>
      <c r="H75" s="550" t="e">
        <f t="shared" si="6"/>
        <v>#DIV/0!</v>
      </c>
      <c r="I75" s="550" t="e">
        <f t="shared" si="2"/>
        <v>#DIV/0!</v>
      </c>
      <c r="J75" s="5"/>
      <c r="K75" s="5"/>
      <c r="L75" s="5"/>
      <c r="M75" s="5"/>
      <c r="N75" s="5"/>
      <c r="O75" s="5"/>
      <c r="P75" s="5"/>
      <c r="Q75" s="5"/>
      <c r="R75" s="5"/>
      <c r="S75" s="5"/>
      <c r="T75" s="5"/>
    </row>
    <row r="76" spans="1:20" s="11" customFormat="1" x14ac:dyDescent="0.25">
      <c r="A76" s="5"/>
      <c r="B76" s="273" t="s">
        <v>437</v>
      </c>
      <c r="C76" s="273" t="s">
        <v>1</v>
      </c>
      <c r="D76" s="237"/>
      <c r="E76" s="237">
        <f>$E$61*'FE''s queima combustíveis'!$I$64/1000</f>
        <v>0</v>
      </c>
      <c r="F76" s="238">
        <f>E76*1000</f>
        <v>0</v>
      </c>
      <c r="G76" s="590"/>
      <c r="H76" s="550" t="e">
        <f t="shared" si="6"/>
        <v>#DIV/0!</v>
      </c>
      <c r="I76" s="550" t="e">
        <f t="shared" si="2"/>
        <v>#DIV/0!</v>
      </c>
      <c r="J76" s="5"/>
      <c r="K76" s="5"/>
      <c r="L76" s="5"/>
      <c r="M76" s="5"/>
      <c r="N76" s="5"/>
      <c r="O76" s="5"/>
      <c r="P76" s="5"/>
      <c r="Q76" s="5"/>
      <c r="R76" s="5"/>
      <c r="S76" s="5"/>
      <c r="T76" s="5"/>
    </row>
    <row r="77" spans="1:20" s="11" customFormat="1" x14ac:dyDescent="0.25">
      <c r="A77" s="5"/>
      <c r="B77" s="273" t="s">
        <v>443</v>
      </c>
      <c r="C77" s="273" t="s">
        <v>1</v>
      </c>
      <c r="D77" s="237"/>
      <c r="E77" s="237">
        <f>$E$62*'FE''s queima combustíveis'!$I$65/1000</f>
        <v>0</v>
      </c>
      <c r="F77" s="238">
        <f t="shared" ref="F77:F83" si="8">E77*1000</f>
        <v>0</v>
      </c>
      <c r="G77" s="590"/>
      <c r="H77" s="550" t="e">
        <f t="shared" si="6"/>
        <v>#DIV/0!</v>
      </c>
      <c r="I77" s="550" t="e">
        <f t="shared" si="2"/>
        <v>#DIV/0!</v>
      </c>
      <c r="J77" s="5"/>
      <c r="K77" s="5"/>
      <c r="L77" s="5"/>
      <c r="M77" s="5"/>
      <c r="N77" s="5"/>
      <c r="O77" s="5"/>
      <c r="P77" s="5"/>
      <c r="Q77" s="5"/>
      <c r="R77" s="5"/>
      <c r="S77" s="5"/>
      <c r="T77" s="5"/>
    </row>
    <row r="78" spans="1:20" s="11" customFormat="1" x14ac:dyDescent="0.25">
      <c r="A78" s="5"/>
      <c r="B78" s="273" t="s">
        <v>492</v>
      </c>
      <c r="C78" s="273" t="s">
        <v>1</v>
      </c>
      <c r="D78" s="237"/>
      <c r="E78" s="237">
        <f>$E$63*'FE''s queima combustíveis'!$I$9/1000</f>
        <v>0</v>
      </c>
      <c r="F78" s="238">
        <f t="shared" si="8"/>
        <v>0</v>
      </c>
      <c r="G78" s="590"/>
      <c r="H78" s="550" t="e">
        <f t="shared" si="6"/>
        <v>#DIV/0!</v>
      </c>
      <c r="I78" s="550" t="e">
        <f t="shared" si="2"/>
        <v>#DIV/0!</v>
      </c>
      <c r="J78" s="5"/>
      <c r="K78" s="5"/>
      <c r="L78" s="5"/>
      <c r="M78" s="5"/>
      <c r="N78" s="5"/>
      <c r="O78" s="5"/>
      <c r="P78" s="5"/>
      <c r="Q78" s="5"/>
      <c r="R78" s="5"/>
      <c r="S78" s="5"/>
      <c r="T78" s="5"/>
    </row>
    <row r="79" spans="1:20" x14ac:dyDescent="0.25">
      <c r="B79" s="273" t="s">
        <v>493</v>
      </c>
      <c r="C79" s="273" t="s">
        <v>1</v>
      </c>
      <c r="D79" s="237"/>
      <c r="E79" s="237">
        <f>$E$64*'FE''s queima combustíveis'!$I$7/1000</f>
        <v>0</v>
      </c>
      <c r="F79" s="238">
        <f t="shared" si="8"/>
        <v>0</v>
      </c>
      <c r="G79" s="590"/>
      <c r="H79" s="550" t="e">
        <f t="shared" si="6"/>
        <v>#DIV/0!</v>
      </c>
      <c r="I79" s="550" t="e">
        <f t="shared" si="2"/>
        <v>#DIV/0!</v>
      </c>
    </row>
    <row r="80" spans="1:20" x14ac:dyDescent="0.25">
      <c r="B80" s="273" t="s">
        <v>494</v>
      </c>
      <c r="C80" s="273" t="s">
        <v>1</v>
      </c>
      <c r="D80" s="237"/>
      <c r="E80" s="237">
        <f>$E$65*'FE''s queima combustíveis'!$I$8/1000</f>
        <v>0</v>
      </c>
      <c r="F80" s="238">
        <f t="shared" si="8"/>
        <v>0</v>
      </c>
      <c r="G80" s="590"/>
      <c r="H80" s="550" t="e">
        <f t="shared" si="6"/>
        <v>#DIV/0!</v>
      </c>
      <c r="I80" s="550" t="e">
        <f t="shared" si="2"/>
        <v>#DIV/0!</v>
      </c>
    </row>
    <row r="81" spans="2:20" x14ac:dyDescent="0.25">
      <c r="B81" s="273" t="s">
        <v>444</v>
      </c>
      <c r="C81" s="273" t="s">
        <v>1</v>
      </c>
      <c r="D81" s="237"/>
      <c r="E81" s="237">
        <f>($E$66+E1GMI!D75)*'FE''s queima combustíveis'!$I$66/1000</f>
        <v>0</v>
      </c>
      <c r="F81" s="238">
        <f t="shared" si="8"/>
        <v>0</v>
      </c>
      <c r="G81" s="590"/>
      <c r="H81" s="550" t="e">
        <f t="shared" si="6"/>
        <v>#DIV/0!</v>
      </c>
      <c r="I81" s="550" t="e">
        <f t="shared" si="2"/>
        <v>#DIV/0!</v>
      </c>
    </row>
    <row r="82" spans="2:20" x14ac:dyDescent="0.25">
      <c r="B82" s="273" t="s">
        <v>637</v>
      </c>
      <c r="C82" s="273" t="s">
        <v>1</v>
      </c>
      <c r="D82" s="237"/>
      <c r="E82" s="237">
        <f>$E$67*'FE''s queima combustíveis'!$I$67/1000</f>
        <v>0</v>
      </c>
      <c r="F82" s="238">
        <f t="shared" si="8"/>
        <v>0</v>
      </c>
      <c r="G82" s="590"/>
      <c r="H82" s="550" t="e">
        <f t="shared" si="6"/>
        <v>#DIV/0!</v>
      </c>
      <c r="I82" s="550" t="e">
        <f t="shared" ref="I82:I87" si="9">(F82/$E$93)*$F$93</f>
        <v>#DIV/0!</v>
      </c>
    </row>
    <row r="83" spans="2:20" x14ac:dyDescent="0.25">
      <c r="B83" s="273" t="s">
        <v>638</v>
      </c>
      <c r="C83" s="273" t="s">
        <v>1</v>
      </c>
      <c r="D83" s="237"/>
      <c r="E83" s="237">
        <f>$E$68*'FE''s queima combustíveis'!$I$68/1000</f>
        <v>0</v>
      </c>
      <c r="F83" s="238">
        <f t="shared" si="8"/>
        <v>0</v>
      </c>
      <c r="G83" s="590"/>
      <c r="H83" s="550" t="e">
        <f t="shared" si="6"/>
        <v>#DIV/0!</v>
      </c>
      <c r="I83" s="550" t="e">
        <f t="shared" si="9"/>
        <v>#DIV/0!</v>
      </c>
    </row>
    <row r="84" spans="2:20" ht="6" customHeight="1" x14ac:dyDescent="0.25">
      <c r="B84" s="227"/>
      <c r="D84" s="7"/>
      <c r="E84" s="48"/>
      <c r="F84" s="49"/>
      <c r="G84" s="49"/>
      <c r="H84" s="10"/>
    </row>
    <row r="85" spans="2:20" ht="18" x14ac:dyDescent="0.25">
      <c r="B85" s="276" t="s">
        <v>54</v>
      </c>
      <c r="C85" s="274" t="s">
        <v>614</v>
      </c>
      <c r="D85" s="274"/>
      <c r="E85" s="275"/>
      <c r="F85" s="290" t="e">
        <f>SUM(F71:F83)</f>
        <v>#DIV/0!</v>
      </c>
      <c r="G85" s="597"/>
      <c r="H85" s="290" t="e">
        <f t="shared" ref="H85:H87" si="10">(F85/$E$92)*$F$92</f>
        <v>#DIV/0!</v>
      </c>
      <c r="I85" s="290" t="e">
        <f t="shared" si="9"/>
        <v>#DIV/0!</v>
      </c>
    </row>
    <row r="86" spans="2:20" ht="18" x14ac:dyDescent="0.25">
      <c r="B86" s="276" t="s">
        <v>61</v>
      </c>
      <c r="C86" s="274" t="s">
        <v>614</v>
      </c>
      <c r="D86" s="274"/>
      <c r="E86" s="275"/>
      <c r="F86" s="290" t="e">
        <f>SUM(F17:F41,F60:F69)</f>
        <v>#DIV/0!</v>
      </c>
      <c r="G86" s="597"/>
      <c r="H86" s="290" t="e">
        <f t="shared" si="10"/>
        <v>#DIV/0!</v>
      </c>
      <c r="I86" s="290" t="e">
        <f t="shared" si="9"/>
        <v>#DIV/0!</v>
      </c>
    </row>
    <row r="87" spans="2:20" ht="18" x14ac:dyDescent="0.25">
      <c r="B87" s="276" t="s">
        <v>55</v>
      </c>
      <c r="C87" s="274" t="s">
        <v>614</v>
      </c>
      <c r="D87" s="274"/>
      <c r="E87" s="275"/>
      <c r="F87" s="290" t="e">
        <f>F85+F86</f>
        <v>#DIV/0!</v>
      </c>
      <c r="G87" s="597"/>
      <c r="H87" s="290" t="e">
        <f t="shared" si="10"/>
        <v>#DIV/0!</v>
      </c>
      <c r="I87" s="290" t="e">
        <f t="shared" si="9"/>
        <v>#DIV/0!</v>
      </c>
    </row>
    <row r="88" spans="2:20" x14ac:dyDescent="0.25">
      <c r="B88" s="227"/>
      <c r="D88" s="7"/>
      <c r="E88" s="48"/>
      <c r="F88" s="49"/>
      <c r="G88" s="49"/>
      <c r="H88" s="10"/>
    </row>
    <row r="89" spans="2:20" x14ac:dyDescent="0.25">
      <c r="B89" s="227"/>
      <c r="D89" s="7"/>
      <c r="E89" s="48"/>
      <c r="F89" s="49"/>
      <c r="G89" s="49"/>
      <c r="H89" s="10"/>
    </row>
    <row r="90" spans="2:20" s="19" customFormat="1" ht="18.75" x14ac:dyDescent="0.3">
      <c r="B90" s="737" t="s">
        <v>615</v>
      </c>
      <c r="C90" s="737"/>
      <c r="D90" s="737"/>
      <c r="E90" s="737"/>
      <c r="F90" s="737"/>
      <c r="G90" s="453"/>
      <c r="H90" s="740" t="s">
        <v>936</v>
      </c>
      <c r="I90" s="740" t="s">
        <v>937</v>
      </c>
      <c r="K90" s="363"/>
      <c r="L90" s="363"/>
      <c r="M90" s="363"/>
      <c r="N90" s="363"/>
      <c r="O90" s="363"/>
      <c r="P90" s="363"/>
      <c r="Q90" s="363"/>
    </row>
    <row r="91" spans="2:20" ht="18" x14ac:dyDescent="0.25">
      <c r="B91" s="279" t="s">
        <v>495</v>
      </c>
      <c r="C91" s="306" t="s">
        <v>0</v>
      </c>
      <c r="D91" s="306" t="s">
        <v>610</v>
      </c>
      <c r="E91" s="306" t="s">
        <v>29</v>
      </c>
      <c r="F91" s="306" t="s">
        <v>330</v>
      </c>
      <c r="G91" s="583"/>
      <c r="H91" s="740"/>
      <c r="I91" s="740"/>
      <c r="J91" s="364"/>
      <c r="K91" s="365"/>
      <c r="L91" s="365"/>
      <c r="M91" s="365"/>
      <c r="N91" s="365"/>
      <c r="O91" s="365"/>
      <c r="P91" s="365"/>
      <c r="Q91" s="365"/>
      <c r="S91" s="366"/>
      <c r="T91" s="367"/>
    </row>
    <row r="92" spans="2:20" x14ac:dyDescent="0.25">
      <c r="B92" s="273" t="s">
        <v>125</v>
      </c>
      <c r="C92" s="273" t="s">
        <v>1</v>
      </c>
      <c r="D92" s="294">
        <f>E1GMI!D85*'Dados auxiliares'!$D$15</f>
        <v>0</v>
      </c>
      <c r="E92" s="294">
        <f>D92*'Dados auxiliares'!$F$15</f>
        <v>0</v>
      </c>
      <c r="F92" s="258" t="e">
        <f>E92/SUM($E$92:$E$99)</f>
        <v>#DIV/0!</v>
      </c>
      <c r="G92" s="585"/>
      <c r="H92" s="740"/>
      <c r="I92" s="740"/>
      <c r="J92" s="364"/>
      <c r="K92" s="368"/>
      <c r="L92" s="365"/>
      <c r="M92" s="365"/>
      <c r="N92" s="365"/>
      <c r="O92" s="365"/>
      <c r="P92" s="369"/>
      <c r="Q92" s="370"/>
      <c r="R92" s="371"/>
    </row>
    <row r="93" spans="2:20" x14ac:dyDescent="0.25">
      <c r="B93" s="273" t="s">
        <v>126</v>
      </c>
      <c r="C93" s="273" t="s">
        <v>1</v>
      </c>
      <c r="D93" s="294">
        <f>E1GMI!D86*'Dados auxiliares'!$D$16</f>
        <v>0</v>
      </c>
      <c r="E93" s="294">
        <f>D93*'Dados auxiliares'!$F$16</f>
        <v>0</v>
      </c>
      <c r="F93" s="258" t="e">
        <f t="shared" ref="F93:F99" si="11">E93/SUM($E$92:$E$99)</f>
        <v>#DIV/0!</v>
      </c>
      <c r="G93" s="585"/>
      <c r="H93" s="740"/>
      <c r="I93" s="740"/>
      <c r="J93" s="372"/>
      <c r="K93" s="372"/>
      <c r="P93" s="373"/>
      <c r="Q93" s="366"/>
      <c r="R93" s="366"/>
    </row>
    <row r="94" spans="2:20" x14ac:dyDescent="0.25">
      <c r="B94" s="273" t="s">
        <v>48</v>
      </c>
      <c r="C94" s="273" t="s">
        <v>57</v>
      </c>
      <c r="D94" s="294">
        <f>E1GMI!D87</f>
        <v>0</v>
      </c>
      <c r="E94" s="294">
        <f>CONVERT(D94,"kWh","MJ")</f>
        <v>0</v>
      </c>
      <c r="F94" s="258" t="e">
        <f t="shared" si="11"/>
        <v>#DIV/0!</v>
      </c>
      <c r="G94" s="585"/>
      <c r="H94" s="740"/>
      <c r="I94" s="740"/>
      <c r="J94" s="372"/>
      <c r="K94" s="372"/>
    </row>
    <row r="95" spans="2:20" ht="18" x14ac:dyDescent="0.25">
      <c r="B95" s="273" t="s">
        <v>64</v>
      </c>
      <c r="C95" s="273" t="s">
        <v>506</v>
      </c>
      <c r="D95" s="294">
        <f>E1GMI!D89*(1-E1GMI!G89)</f>
        <v>0</v>
      </c>
      <c r="E95" s="294">
        <f>D95*'Dados auxiliares'!D38</f>
        <v>0</v>
      </c>
      <c r="F95" s="258" t="e">
        <f t="shared" si="11"/>
        <v>#DIV/0!</v>
      </c>
      <c r="G95" s="585"/>
      <c r="H95" s="740"/>
      <c r="I95" s="740"/>
      <c r="J95" s="372"/>
      <c r="K95" s="372"/>
      <c r="S95" s="366"/>
    </row>
    <row r="96" spans="2:20" ht="18" x14ac:dyDescent="0.25">
      <c r="B96" s="273" t="s">
        <v>304</v>
      </c>
      <c r="C96" s="273" t="s">
        <v>506</v>
      </c>
      <c r="D96" s="294">
        <f>E1GMI!D88*(1-E1GMI!G88)</f>
        <v>0</v>
      </c>
      <c r="E96" s="294">
        <f>D96*'Dados auxiliares'!D37</f>
        <v>0</v>
      </c>
      <c r="F96" s="258" t="e">
        <f t="shared" si="11"/>
        <v>#DIV/0!</v>
      </c>
      <c r="G96" s="585"/>
      <c r="H96" s="740"/>
      <c r="I96" s="740"/>
      <c r="J96" s="372"/>
      <c r="K96" s="372"/>
      <c r="S96" s="366"/>
    </row>
    <row r="97" spans="2:20" ht="18" x14ac:dyDescent="0.25">
      <c r="B97" s="273" t="s">
        <v>65</v>
      </c>
      <c r="C97" s="273" t="s">
        <v>506</v>
      </c>
      <c r="D97" s="294">
        <f>E1GMI!D90*(1-E1GMI!G90)</f>
        <v>0</v>
      </c>
      <c r="E97" s="294">
        <f>D97*'Dados auxiliares'!D39</f>
        <v>0</v>
      </c>
      <c r="F97" s="258" t="e">
        <f t="shared" si="11"/>
        <v>#DIV/0!</v>
      </c>
      <c r="G97" s="585"/>
      <c r="H97" s="740"/>
      <c r="I97" s="740"/>
      <c r="J97" s="372"/>
      <c r="K97" s="372"/>
      <c r="S97" s="366"/>
    </row>
    <row r="98" spans="2:20" ht="18" x14ac:dyDescent="0.25">
      <c r="B98" s="273" t="s">
        <v>66</v>
      </c>
      <c r="C98" s="273" t="s">
        <v>506</v>
      </c>
      <c r="D98" s="294">
        <f>E1GMI!D91*(1-E1GMI!G91)</f>
        <v>0</v>
      </c>
      <c r="E98" s="294">
        <f>D98*'Dados auxiliares'!D40</f>
        <v>0</v>
      </c>
      <c r="F98" s="258" t="e">
        <f t="shared" si="11"/>
        <v>#DIV/0!</v>
      </c>
      <c r="G98" s="585"/>
      <c r="H98" s="740"/>
      <c r="I98" s="740"/>
      <c r="J98" s="372"/>
      <c r="K98" s="372"/>
      <c r="S98" s="366"/>
    </row>
    <row r="99" spans="2:20" x14ac:dyDescent="0.25">
      <c r="B99" s="273" t="s">
        <v>319</v>
      </c>
      <c r="C99" s="273" t="s">
        <v>1</v>
      </c>
      <c r="D99" s="294">
        <f>E1GMI!D92</f>
        <v>0</v>
      </c>
      <c r="E99" s="294">
        <f>D99*'Dados auxiliares'!D41</f>
        <v>0</v>
      </c>
      <c r="F99" s="258" t="e">
        <f t="shared" si="11"/>
        <v>#DIV/0!</v>
      </c>
      <c r="G99" s="585"/>
      <c r="H99" s="740"/>
      <c r="I99" s="740"/>
      <c r="J99" s="372"/>
      <c r="K99" s="372"/>
      <c r="S99" s="366"/>
    </row>
    <row r="100" spans="2:20" ht="18" x14ac:dyDescent="0.25">
      <c r="B100" s="281" t="s">
        <v>58</v>
      </c>
      <c r="C100" s="306" t="s">
        <v>0</v>
      </c>
      <c r="D100" s="306" t="s">
        <v>610</v>
      </c>
      <c r="E100" s="282"/>
      <c r="F100" s="283" t="s">
        <v>613</v>
      </c>
      <c r="G100" s="272"/>
      <c r="H100" s="283" t="s">
        <v>535</v>
      </c>
      <c r="I100" s="283" t="s">
        <v>535</v>
      </c>
      <c r="J100" s="552"/>
      <c r="K100" s="552"/>
      <c r="S100" s="366"/>
      <c r="T100" s="367"/>
    </row>
    <row r="101" spans="2:20" x14ac:dyDescent="0.25">
      <c r="B101" s="284" t="s">
        <v>182</v>
      </c>
      <c r="C101" s="285"/>
      <c r="D101" s="285"/>
      <c r="E101" s="288"/>
      <c r="F101" s="289"/>
      <c r="G101" s="593"/>
      <c r="H101" s="287"/>
      <c r="I101" s="287"/>
      <c r="J101" s="11"/>
      <c r="K101" s="11"/>
      <c r="S101" s="366"/>
      <c r="T101" s="367"/>
    </row>
    <row r="102" spans="2:20" x14ac:dyDescent="0.25">
      <c r="B102" s="273" t="s">
        <v>579</v>
      </c>
      <c r="C102" s="273" t="s">
        <v>42</v>
      </c>
      <c r="D102" s="334">
        <f>(0.00004878*0.65)</f>
        <v>3.1707E-5</v>
      </c>
      <c r="E102" s="259"/>
      <c r="F102" s="278">
        <f>D102*'Dados auxiliares'!$H$81</f>
        <v>1.018120869909E-6</v>
      </c>
      <c r="G102" s="598"/>
      <c r="H102" s="550" t="e">
        <f t="shared" ref="H102:H103" si="12">(F102/$E$92)*$F$92</f>
        <v>#DIV/0!</v>
      </c>
      <c r="I102" s="550" t="e">
        <f t="shared" ref="I102:I103" si="13">(F102/$E$93)*$F$93</f>
        <v>#DIV/0!</v>
      </c>
      <c r="J102" s="11"/>
      <c r="K102" s="11"/>
      <c r="S102" s="366"/>
      <c r="T102" s="367"/>
    </row>
    <row r="103" spans="2:20" x14ac:dyDescent="0.25">
      <c r="B103" s="273" t="s">
        <v>156</v>
      </c>
      <c r="C103" s="273" t="s">
        <v>42</v>
      </c>
      <c r="D103" s="334">
        <f>(0.00004878*0.35)</f>
        <v>1.7072999999999997E-5</v>
      </c>
      <c r="E103" s="259"/>
      <c r="F103" s="278">
        <f>D103*'Dados auxiliares'!$H$80</f>
        <v>2.6994354200100001E-7</v>
      </c>
      <c r="G103" s="598"/>
      <c r="H103" s="550" t="e">
        <f t="shared" si="12"/>
        <v>#DIV/0!</v>
      </c>
      <c r="I103" s="550" t="e">
        <f t="shared" si="13"/>
        <v>#DIV/0!</v>
      </c>
      <c r="J103" s="11"/>
      <c r="K103" s="11"/>
      <c r="S103" s="366"/>
      <c r="T103" s="367"/>
    </row>
    <row r="104" spans="2:20" x14ac:dyDescent="0.25">
      <c r="B104" s="284" t="s">
        <v>455</v>
      </c>
      <c r="C104" s="285"/>
      <c r="D104" s="285"/>
      <c r="E104" s="288"/>
      <c r="F104" s="289"/>
      <c r="G104" s="593"/>
      <c r="H104" s="287"/>
      <c r="I104" s="287"/>
      <c r="J104" s="11"/>
      <c r="K104" s="11"/>
      <c r="S104" s="366"/>
      <c r="T104" s="367"/>
    </row>
    <row r="105" spans="2:20" x14ac:dyDescent="0.25">
      <c r="B105" s="273" t="s">
        <v>629</v>
      </c>
      <c r="C105" s="273" t="s">
        <v>138</v>
      </c>
      <c r="D105" s="308">
        <v>1</v>
      </c>
      <c r="E105" s="259"/>
      <c r="F105" s="294" t="e">
        <f>D105*F87</f>
        <v>#DIV/0!</v>
      </c>
      <c r="G105" s="595"/>
      <c r="H105" s="550" t="e">
        <f>(F105/$E$92)*$F$92</f>
        <v>#DIV/0!</v>
      </c>
      <c r="I105" s="550" t="e">
        <f t="shared" ref="I105:I106" si="14">(F105/$E$93)*$F$93</f>
        <v>#DIV/0!</v>
      </c>
      <c r="J105" s="374"/>
      <c r="K105" s="374"/>
      <c r="L105" s="375"/>
      <c r="M105" s="366"/>
      <c r="N105" s="366"/>
      <c r="O105" s="367"/>
      <c r="P105" s="366"/>
      <c r="Q105" s="366"/>
      <c r="R105" s="367"/>
    </row>
    <row r="106" spans="2:20" x14ac:dyDescent="0.25">
      <c r="B106" s="273" t="s">
        <v>630</v>
      </c>
      <c r="C106" s="273" t="s">
        <v>47</v>
      </c>
      <c r="D106" s="278">
        <f>D105*E1GMI!D84</f>
        <v>0</v>
      </c>
      <c r="E106" s="259"/>
      <c r="F106" s="278">
        <f>D106*'Dados auxiliares'!$H$131</f>
        <v>0</v>
      </c>
      <c r="G106" s="598"/>
      <c r="H106" s="550" t="e">
        <f t="shared" ref="H106:H113" si="15">(F106/$E$92)*$F$92</f>
        <v>#DIV/0!</v>
      </c>
      <c r="I106" s="550" t="e">
        <f t="shared" si="14"/>
        <v>#DIV/0!</v>
      </c>
      <c r="J106" s="374"/>
      <c r="K106" s="374"/>
      <c r="L106" s="375"/>
      <c r="M106" s="366"/>
      <c r="N106" s="366"/>
      <c r="O106" s="367"/>
      <c r="P106" s="366"/>
      <c r="Q106" s="366"/>
      <c r="R106" s="367"/>
    </row>
    <row r="107" spans="2:20" x14ac:dyDescent="0.25">
      <c r="B107" s="273" t="s">
        <v>324</v>
      </c>
      <c r="C107" s="273" t="s">
        <v>1</v>
      </c>
      <c r="D107" s="277">
        <v>1.2023348147999999</v>
      </c>
      <c r="E107" s="259"/>
      <c r="F107" s="278">
        <f>D107*'Dados auxiliares'!$H$84</f>
        <v>1156.3300683742502</v>
      </c>
      <c r="G107" s="598"/>
      <c r="H107" s="550" t="e">
        <f t="shared" ref="H107" si="16">(F107/$E$92)*$F$92</f>
        <v>#DIV/0!</v>
      </c>
      <c r="I107" s="550" t="e">
        <f t="shared" ref="I107" si="17">(F107/$E$93)*$F$93</f>
        <v>#DIV/0!</v>
      </c>
      <c r="J107" s="374"/>
      <c r="K107" s="374"/>
      <c r="L107" s="375"/>
      <c r="M107" s="366"/>
      <c r="N107" s="366"/>
      <c r="O107" s="367"/>
      <c r="P107" s="366"/>
      <c r="Q107" s="366"/>
      <c r="R107" s="367"/>
    </row>
    <row r="108" spans="2:20" x14ac:dyDescent="0.25">
      <c r="B108" s="273" t="s">
        <v>162</v>
      </c>
      <c r="C108" s="273" t="s">
        <v>1</v>
      </c>
      <c r="D108" s="277">
        <v>0.9</v>
      </c>
      <c r="E108" s="259"/>
      <c r="F108" s="278">
        <f>D108*'Dados auxiliares'!$H$99</f>
        <v>1179</v>
      </c>
      <c r="G108" s="598"/>
      <c r="H108" s="550" t="e">
        <f t="shared" si="15"/>
        <v>#DIV/0!</v>
      </c>
      <c r="I108" s="550" t="e">
        <f t="shared" ref="I108:I113" si="18">(F108/$E$93)*$F$93</f>
        <v>#DIV/0!</v>
      </c>
      <c r="J108" s="376"/>
      <c r="L108" s="367"/>
      <c r="M108" s="367"/>
      <c r="N108" s="367"/>
      <c r="O108" s="367"/>
      <c r="P108" s="367"/>
      <c r="Q108" s="367"/>
      <c r="R108" s="367"/>
    </row>
    <row r="109" spans="2:20" x14ac:dyDescent="0.25">
      <c r="B109" s="273" t="s">
        <v>22</v>
      </c>
      <c r="C109" s="273" t="s">
        <v>1</v>
      </c>
      <c r="D109" s="277">
        <v>0.53</v>
      </c>
      <c r="E109" s="259"/>
      <c r="F109" s="278">
        <f>D109*'Dados auxiliares'!$H$88</f>
        <v>57.960725641093177</v>
      </c>
      <c r="G109" s="598"/>
      <c r="H109" s="550" t="e">
        <f t="shared" si="15"/>
        <v>#DIV/0!</v>
      </c>
      <c r="I109" s="550" t="e">
        <f t="shared" si="18"/>
        <v>#DIV/0!</v>
      </c>
    </row>
    <row r="110" spans="2:20" x14ac:dyDescent="0.25">
      <c r="B110" s="273" t="s">
        <v>85</v>
      </c>
      <c r="C110" s="273" t="s">
        <v>1</v>
      </c>
      <c r="D110" s="277">
        <v>2.52</v>
      </c>
      <c r="E110" s="259"/>
      <c r="F110" s="278">
        <f>D110*'Dados auxiliares'!$H$97</f>
        <v>1291.3946443238285</v>
      </c>
      <c r="G110" s="598"/>
      <c r="H110" s="550" t="e">
        <f t="shared" si="15"/>
        <v>#DIV/0!</v>
      </c>
      <c r="I110" s="550" t="e">
        <f t="shared" si="18"/>
        <v>#DIV/0!</v>
      </c>
      <c r="L110" s="377"/>
      <c r="M110" s="377"/>
    </row>
    <row r="111" spans="2:20" x14ac:dyDescent="0.25">
      <c r="B111" s="273" t="s">
        <v>176</v>
      </c>
      <c r="C111" s="273" t="s">
        <v>1</v>
      </c>
      <c r="D111" s="277">
        <v>2.0099999999999998</v>
      </c>
      <c r="E111" s="259"/>
      <c r="F111" s="278">
        <f>D111*'Dados auxiliares'!$H$95</f>
        <v>6149.2686836062794</v>
      </c>
      <c r="G111" s="598"/>
      <c r="H111" s="550" t="e">
        <f t="shared" si="15"/>
        <v>#DIV/0!</v>
      </c>
      <c r="I111" s="550" t="e">
        <f t="shared" si="18"/>
        <v>#DIV/0!</v>
      </c>
      <c r="L111" s="377"/>
      <c r="M111" s="377"/>
    </row>
    <row r="112" spans="2:20" x14ac:dyDescent="0.25">
      <c r="B112" s="273" t="s">
        <v>291</v>
      </c>
      <c r="C112" s="273" t="s">
        <v>1</v>
      </c>
      <c r="D112" s="277">
        <v>0.31</v>
      </c>
      <c r="E112" s="259"/>
      <c r="F112" s="278">
        <f>D112*'Dados auxiliares'!$H$98</f>
        <v>325.40915251108339</v>
      </c>
      <c r="G112" s="598"/>
      <c r="H112" s="550" t="e">
        <f t="shared" si="15"/>
        <v>#DIV/0!</v>
      </c>
      <c r="I112" s="550" t="e">
        <f t="shared" si="18"/>
        <v>#DIV/0!</v>
      </c>
      <c r="L112" s="377"/>
      <c r="M112" s="377"/>
    </row>
    <row r="113" spans="1:20" x14ac:dyDescent="0.25">
      <c r="B113" s="273" t="s">
        <v>27</v>
      </c>
      <c r="C113" s="273" t="s">
        <v>1</v>
      </c>
      <c r="D113" s="277">
        <v>6.2E-2</v>
      </c>
      <c r="E113" s="259"/>
      <c r="F113" s="278">
        <f>D113*'Dados auxiliares'!$H$94</f>
        <v>310.64041816017919</v>
      </c>
      <c r="G113" s="598"/>
      <c r="H113" s="550" t="e">
        <f t="shared" si="15"/>
        <v>#DIV/0!</v>
      </c>
      <c r="I113" s="550" t="e">
        <f t="shared" si="18"/>
        <v>#DIV/0!</v>
      </c>
    </row>
    <row r="114" spans="1:20" x14ac:dyDescent="0.25">
      <c r="B114" s="284" t="s">
        <v>243</v>
      </c>
      <c r="C114" s="285"/>
      <c r="D114" s="285"/>
      <c r="E114" s="288"/>
      <c r="F114" s="289"/>
      <c r="G114" s="593"/>
      <c r="H114" s="287"/>
      <c r="I114" s="287"/>
      <c r="L114" s="377"/>
      <c r="M114" s="377"/>
    </row>
    <row r="115" spans="1:20" x14ac:dyDescent="0.25">
      <c r="B115" s="273" t="s">
        <v>636</v>
      </c>
      <c r="C115" s="273" t="s">
        <v>57</v>
      </c>
      <c r="D115" s="237">
        <f>E1GMI!D95</f>
        <v>0</v>
      </c>
      <c r="E115" s="237"/>
      <c r="F115" s="238">
        <f>D115*'Dados auxiliares'!$H$113</f>
        <v>0</v>
      </c>
      <c r="G115" s="590"/>
      <c r="H115" s="550" t="e">
        <f t="shared" ref="H115:H127" si="19">(F115/$E$92)*$F$92</f>
        <v>#DIV/0!</v>
      </c>
      <c r="I115" s="550" t="e">
        <f t="shared" ref="I115:I127" si="20">(F115/$E$93)*$F$93</f>
        <v>#DIV/0!</v>
      </c>
      <c r="J115" s="378"/>
      <c r="K115" s="378"/>
      <c r="M115" s="367"/>
      <c r="N115" s="367"/>
      <c r="O115" s="367"/>
      <c r="P115" s="367"/>
      <c r="Q115" s="367"/>
      <c r="R115" s="367"/>
    </row>
    <row r="116" spans="1:20" x14ac:dyDescent="0.25">
      <c r="B116" s="273" t="s">
        <v>309</v>
      </c>
      <c r="C116" s="273" t="s">
        <v>1</v>
      </c>
      <c r="D116" s="237">
        <f>(E1GMI!$D$96*(1-0.08)+E1GMI!$D$97*(1-0.1)+E1GMI!$D$98*(1-E1GMI!$G$98)+E1GMI!$D$99*(1-0.2)+E1GMI!$D$100*(1-0.3)+E1GMI!$D$101*(1-1))*('Dados auxiliares'!$D$26)</f>
        <v>0</v>
      </c>
      <c r="E116" s="237"/>
      <c r="F116" s="238">
        <f>D116*'Dados auxiliares'!$H$116</f>
        <v>0</v>
      </c>
      <c r="G116" s="590"/>
      <c r="H116" s="550" t="e">
        <f t="shared" si="19"/>
        <v>#DIV/0!</v>
      </c>
      <c r="I116" s="550" t="e">
        <f t="shared" si="20"/>
        <v>#DIV/0!</v>
      </c>
      <c r="J116" s="378"/>
      <c r="K116" s="378"/>
      <c r="M116" s="367"/>
      <c r="N116" s="367"/>
      <c r="O116" s="367"/>
      <c r="P116" s="367"/>
      <c r="Q116" s="367"/>
      <c r="R116" s="367"/>
    </row>
    <row r="117" spans="1:20" x14ac:dyDescent="0.25">
      <c r="B117" s="273" t="s">
        <v>187</v>
      </c>
      <c r="C117" s="273" t="s">
        <v>1</v>
      </c>
      <c r="D117" s="237">
        <f>(E1GMI!$D$96*(0.08)+E1GMI!$D$97*(0.1)+E1GMI!$D$98*(E1GMI!$G$98)+E1GMI!$D$99*(0.2)+E1GMI!$D$100*(0.3)+E1GMI!$D$101*(1))*('Dados auxiliares'!$D$17)</f>
        <v>0</v>
      </c>
      <c r="E117" s="237"/>
      <c r="F117" s="238">
        <f>D117*'Dados auxiliares'!$H$117</f>
        <v>0</v>
      </c>
      <c r="G117" s="590"/>
      <c r="H117" s="550" t="e">
        <f t="shared" si="19"/>
        <v>#DIV/0!</v>
      </c>
      <c r="I117" s="550" t="e">
        <f t="shared" si="20"/>
        <v>#DIV/0!</v>
      </c>
    </row>
    <row r="118" spans="1:20" x14ac:dyDescent="0.25">
      <c r="B118" s="273" t="s">
        <v>851</v>
      </c>
      <c r="C118" s="273" t="s">
        <v>1</v>
      </c>
      <c r="D118" s="237">
        <f>E1GMI!D102*'Dados auxiliares'!$D$30</f>
        <v>0</v>
      </c>
      <c r="E118" s="237"/>
      <c r="F118" s="238">
        <f>D118*'Dados auxiliares'!$H$126</f>
        <v>0</v>
      </c>
      <c r="G118" s="590"/>
      <c r="H118" s="550" t="e">
        <f t="shared" ref="H118" si="21">(F118/$E$92)*$F$92</f>
        <v>#DIV/0!</v>
      </c>
      <c r="I118" s="550" t="e">
        <f t="shared" ref="I118" si="22">(F118/$E$93)*$F$93</f>
        <v>#DIV/0!</v>
      </c>
    </row>
    <row r="119" spans="1:20" x14ac:dyDescent="0.25">
      <c r="B119" s="273" t="s">
        <v>923</v>
      </c>
      <c r="C119" s="273" t="s">
        <v>169</v>
      </c>
      <c r="D119" s="237">
        <f>E1GMI!D105</f>
        <v>0</v>
      </c>
      <c r="E119" s="237"/>
      <c r="F119" s="238">
        <f>D119*E1GMI!G105*'Dados auxiliares'!$H$125</f>
        <v>0</v>
      </c>
      <c r="G119" s="590"/>
      <c r="H119" s="550" t="e">
        <f t="shared" si="19"/>
        <v>#DIV/0!</v>
      </c>
      <c r="I119" s="550" t="e">
        <f t="shared" si="20"/>
        <v>#DIV/0!</v>
      </c>
    </row>
    <row r="120" spans="1:20" x14ac:dyDescent="0.25">
      <c r="B120" s="273" t="s">
        <v>572</v>
      </c>
      <c r="C120" s="273" t="s">
        <v>169</v>
      </c>
      <c r="D120" s="237">
        <f>E1GMI!D107</f>
        <v>0</v>
      </c>
      <c r="E120" s="237"/>
      <c r="F120" s="238">
        <f>D120*'Dados auxiliares'!$H$115</f>
        <v>0</v>
      </c>
      <c r="G120" s="590"/>
      <c r="H120" s="550" t="e">
        <f t="shared" si="19"/>
        <v>#DIV/0!</v>
      </c>
      <c r="I120" s="550" t="e">
        <f t="shared" si="20"/>
        <v>#DIV/0!</v>
      </c>
    </row>
    <row r="121" spans="1:20" x14ac:dyDescent="0.25">
      <c r="B121" s="273" t="s">
        <v>325</v>
      </c>
      <c r="C121" s="273" t="s">
        <v>29</v>
      </c>
      <c r="D121" s="237">
        <f>E1GMI!D108</f>
        <v>0</v>
      </c>
      <c r="E121" s="237"/>
      <c r="F121" s="238">
        <f>D121*'Dados auxiliares'!H127</f>
        <v>0</v>
      </c>
      <c r="G121" s="590"/>
      <c r="H121" s="550" t="e">
        <f t="shared" si="19"/>
        <v>#DIV/0!</v>
      </c>
      <c r="I121" s="550" t="e">
        <f t="shared" si="20"/>
        <v>#DIV/0!</v>
      </c>
    </row>
    <row r="122" spans="1:20" ht="18" x14ac:dyDescent="0.25">
      <c r="B122" s="273" t="s">
        <v>106</v>
      </c>
      <c r="C122" s="273" t="s">
        <v>506</v>
      </c>
      <c r="D122" s="278">
        <f>E1GMI!$D$110*(1-E1GMI!$D$111)</f>
        <v>0</v>
      </c>
      <c r="E122" s="259"/>
      <c r="F122" s="278">
        <f>D122*'Dados auxiliares'!$H$123</f>
        <v>0</v>
      </c>
      <c r="G122" s="598"/>
      <c r="H122" s="550" t="e">
        <f t="shared" si="19"/>
        <v>#DIV/0!</v>
      </c>
      <c r="I122" s="550" t="e">
        <f t="shared" si="20"/>
        <v>#DIV/0!</v>
      </c>
    </row>
    <row r="123" spans="1:20" x14ac:dyDescent="0.25">
      <c r="B123" s="273" t="s">
        <v>500</v>
      </c>
      <c r="C123" s="273" t="s">
        <v>47</v>
      </c>
      <c r="D123" s="278">
        <f>((D122/1000)*E1GMI!$D$112)</f>
        <v>0</v>
      </c>
      <c r="E123" s="259"/>
      <c r="F123" s="278">
        <f>D123*'Dados auxiliares'!$H$131</f>
        <v>0</v>
      </c>
      <c r="G123" s="598"/>
      <c r="H123" s="550" t="e">
        <f t="shared" si="19"/>
        <v>#DIV/0!</v>
      </c>
      <c r="I123" s="550" t="e">
        <f t="shared" si="20"/>
        <v>#DIV/0!</v>
      </c>
    </row>
    <row r="124" spans="1:20" ht="18" x14ac:dyDescent="0.25">
      <c r="B124" s="273" t="s">
        <v>347</v>
      </c>
      <c r="C124" s="273" t="s">
        <v>506</v>
      </c>
      <c r="D124" s="278">
        <f>E1GMI!$D$114*(1-E1GMI!$D$115)</f>
        <v>0</v>
      </c>
      <c r="E124" s="259"/>
      <c r="F124" s="278">
        <f>D124*'Dados auxiliares'!$H$124</f>
        <v>0</v>
      </c>
      <c r="G124" s="598"/>
      <c r="H124" s="550" t="e">
        <f t="shared" si="19"/>
        <v>#DIV/0!</v>
      </c>
      <c r="I124" s="550" t="e">
        <f t="shared" si="20"/>
        <v>#DIV/0!</v>
      </c>
    </row>
    <row r="125" spans="1:20" x14ac:dyDescent="0.25">
      <c r="B125" s="273" t="s">
        <v>503</v>
      </c>
      <c r="C125" s="273" t="s">
        <v>47</v>
      </c>
      <c r="D125" s="278">
        <f>((D124/1000)*E1GMI!$D$116)</f>
        <v>0</v>
      </c>
      <c r="E125" s="259"/>
      <c r="F125" s="278">
        <f>D125*'Dados auxiliares'!$H$131</f>
        <v>0</v>
      </c>
      <c r="G125" s="598"/>
      <c r="H125" s="550" t="e">
        <f t="shared" si="19"/>
        <v>#DIV/0!</v>
      </c>
      <c r="I125" s="550" t="e">
        <f t="shared" si="20"/>
        <v>#DIV/0!</v>
      </c>
    </row>
    <row r="126" spans="1:20" ht="18" x14ac:dyDescent="0.25">
      <c r="B126" s="273" t="s">
        <v>466</v>
      </c>
      <c r="C126" s="273" t="s">
        <v>506</v>
      </c>
      <c r="D126" s="278">
        <f>E1GMI!$D$118*(1-E1GMI!$D$119)</f>
        <v>0</v>
      </c>
      <c r="E126" s="259"/>
      <c r="F126" s="277">
        <v>0</v>
      </c>
      <c r="G126" s="544"/>
      <c r="H126" s="550" t="e">
        <f t="shared" si="19"/>
        <v>#DIV/0!</v>
      </c>
      <c r="I126" s="550" t="e">
        <f t="shared" si="20"/>
        <v>#DIV/0!</v>
      </c>
    </row>
    <row r="127" spans="1:20" x14ac:dyDescent="0.25">
      <c r="B127" s="273" t="s">
        <v>504</v>
      </c>
      <c r="C127" s="273" t="s">
        <v>47</v>
      </c>
      <c r="D127" s="278">
        <f>((D126/1000)*E1GMI!$D$120)</f>
        <v>0</v>
      </c>
      <c r="E127" s="259"/>
      <c r="F127" s="278">
        <f>D127*'Dados auxiliares'!$H$131</f>
        <v>0</v>
      </c>
      <c r="G127" s="598"/>
      <c r="H127" s="550" t="e">
        <f t="shared" si="19"/>
        <v>#DIV/0!</v>
      </c>
      <c r="I127" s="550" t="e">
        <f t="shared" si="20"/>
        <v>#DIV/0!</v>
      </c>
    </row>
    <row r="128" spans="1:20" s="11" customFormat="1" ht="18" x14ac:dyDescent="0.25">
      <c r="A128" s="5"/>
      <c r="B128" s="338" t="s">
        <v>52</v>
      </c>
      <c r="C128" s="306" t="s">
        <v>0</v>
      </c>
      <c r="D128" s="306" t="s">
        <v>610</v>
      </c>
      <c r="E128" s="282"/>
      <c r="F128" s="283" t="s">
        <v>613</v>
      </c>
      <c r="G128" s="272"/>
      <c r="H128" s="283" t="s">
        <v>535</v>
      </c>
      <c r="I128" s="283" t="s">
        <v>535</v>
      </c>
      <c r="J128" s="5"/>
      <c r="K128" s="5"/>
      <c r="L128" s="5"/>
      <c r="M128" s="5"/>
      <c r="N128" s="5"/>
      <c r="O128" s="5"/>
      <c r="P128" s="5"/>
      <c r="Q128" s="5"/>
      <c r="R128" s="5"/>
      <c r="S128" s="5"/>
      <c r="T128" s="5"/>
    </row>
    <row r="129" spans="1:20" s="11" customFormat="1" x14ac:dyDescent="0.25">
      <c r="A129" s="5"/>
      <c r="B129" s="273" t="s">
        <v>437</v>
      </c>
      <c r="C129" s="273" t="s">
        <v>1</v>
      </c>
      <c r="D129" s="278">
        <f>D116*'FE''s queima combustíveis'!$I$50/1000</f>
        <v>0</v>
      </c>
      <c r="E129" s="259"/>
      <c r="F129" s="238">
        <f t="shared" ref="F129:F139" si="23">D129*1000</f>
        <v>0</v>
      </c>
      <c r="G129" s="590"/>
      <c r="H129" s="550" t="e">
        <f t="shared" ref="H129:H143" si="24">(F129/$E$92)*$F$92</f>
        <v>#DIV/0!</v>
      </c>
      <c r="I129" s="550" t="e">
        <f t="shared" ref="I129:I139" si="25">(F129/$E$93)*$F$93</f>
        <v>#DIV/0!</v>
      </c>
      <c r="J129" s="5"/>
      <c r="K129" s="5"/>
      <c r="L129" s="5"/>
      <c r="M129" s="5"/>
      <c r="N129" s="5"/>
      <c r="O129" s="5"/>
      <c r="P129" s="5"/>
      <c r="Q129" s="5"/>
      <c r="R129" s="5"/>
      <c r="S129" s="5"/>
      <c r="T129" s="5"/>
    </row>
    <row r="130" spans="1:20" s="11" customFormat="1" x14ac:dyDescent="0.25">
      <c r="A130" s="5"/>
      <c r="B130" s="273" t="s">
        <v>443</v>
      </c>
      <c r="C130" s="273" t="s">
        <v>1</v>
      </c>
      <c r="D130" s="278">
        <f>D117*'FE''s queima combustíveis'!$I$51/1000</f>
        <v>0</v>
      </c>
      <c r="E130" s="259"/>
      <c r="F130" s="238">
        <f t="shared" si="23"/>
        <v>0</v>
      </c>
      <c r="G130" s="590"/>
      <c r="H130" s="550" t="e">
        <f t="shared" si="24"/>
        <v>#DIV/0!</v>
      </c>
      <c r="I130" s="550" t="e">
        <f t="shared" si="25"/>
        <v>#DIV/0!</v>
      </c>
      <c r="J130" s="5"/>
      <c r="K130" s="5"/>
      <c r="L130" s="5"/>
      <c r="M130" s="5"/>
      <c r="N130" s="5"/>
      <c r="O130" s="5"/>
      <c r="P130" s="5"/>
      <c r="Q130" s="5"/>
      <c r="R130" s="5"/>
      <c r="S130" s="5"/>
      <c r="T130" s="5"/>
    </row>
    <row r="131" spans="1:20" s="539" customFormat="1" x14ac:dyDescent="0.25">
      <c r="A131" s="5"/>
      <c r="B131" s="273" t="s">
        <v>848</v>
      </c>
      <c r="C131" s="273" t="s">
        <v>1</v>
      </c>
      <c r="D131" s="278">
        <f>D118*'FE''s queima combustíveis'!$I$53/1000</f>
        <v>0</v>
      </c>
      <c r="E131" s="259"/>
      <c r="F131" s="238">
        <f t="shared" si="23"/>
        <v>0</v>
      </c>
      <c r="G131" s="590"/>
      <c r="H131" s="550" t="e">
        <f t="shared" ref="H131:H133" si="26">(F131/$E$92)*$F$92</f>
        <v>#DIV/0!</v>
      </c>
      <c r="I131" s="550" t="e">
        <f t="shared" ref="I131:I133" si="27">(F131/$E$93)*$F$93</f>
        <v>#DIV/0!</v>
      </c>
      <c r="J131" s="5"/>
      <c r="K131" s="5"/>
      <c r="L131" s="5"/>
      <c r="M131" s="5"/>
      <c r="N131" s="5"/>
      <c r="O131" s="5"/>
      <c r="P131" s="5"/>
      <c r="Q131" s="5"/>
      <c r="R131" s="5"/>
      <c r="S131" s="5"/>
      <c r="T131" s="5"/>
    </row>
    <row r="132" spans="1:20" s="539" customFormat="1" x14ac:dyDescent="0.25">
      <c r="A132" s="5"/>
      <c r="B132" s="273" t="s">
        <v>849</v>
      </c>
      <c r="C132" s="273" t="s">
        <v>1</v>
      </c>
      <c r="D132" s="278">
        <f>E1GMI!D103*'Dados auxiliares'!$D$16*'FE''s queima combustíveis'!$I$57/1000</f>
        <v>0</v>
      </c>
      <c r="E132" s="259"/>
      <c r="F132" s="238">
        <f t="shared" si="23"/>
        <v>0</v>
      </c>
      <c r="G132" s="590"/>
      <c r="H132" s="550" t="e">
        <f t="shared" si="26"/>
        <v>#DIV/0!</v>
      </c>
      <c r="I132" s="550" t="e">
        <f t="shared" si="27"/>
        <v>#DIV/0!</v>
      </c>
      <c r="J132" s="5"/>
      <c r="K132" s="5"/>
      <c r="L132" s="5"/>
      <c r="M132" s="5"/>
      <c r="N132" s="5"/>
      <c r="O132" s="5"/>
      <c r="P132" s="5"/>
      <c r="Q132" s="5"/>
      <c r="R132" s="5"/>
      <c r="S132" s="5"/>
      <c r="T132" s="5"/>
    </row>
    <row r="133" spans="1:20" s="539" customFormat="1" x14ac:dyDescent="0.25">
      <c r="A133" s="5"/>
      <c r="B133" s="273" t="s">
        <v>850</v>
      </c>
      <c r="C133" s="273" t="s">
        <v>1</v>
      </c>
      <c r="D133" s="278">
        <f>E1GMI!D104*'Dados auxiliares'!$D$15*'FE''s queima combustíveis'!$I$55/1000</f>
        <v>0</v>
      </c>
      <c r="E133" s="259"/>
      <c r="F133" s="238">
        <f t="shared" si="23"/>
        <v>0</v>
      </c>
      <c r="G133" s="590"/>
      <c r="H133" s="550" t="e">
        <f t="shared" si="26"/>
        <v>#DIV/0!</v>
      </c>
      <c r="I133" s="550" t="e">
        <f t="shared" si="27"/>
        <v>#DIV/0!</v>
      </c>
      <c r="J133" s="5"/>
      <c r="K133" s="5"/>
      <c r="L133" s="5"/>
      <c r="M133" s="5"/>
      <c r="N133" s="5"/>
      <c r="O133" s="5"/>
      <c r="P133" s="5"/>
      <c r="Q133" s="5"/>
      <c r="R133" s="5"/>
      <c r="S133" s="5"/>
      <c r="T133" s="5"/>
    </row>
    <row r="134" spans="1:20" s="11" customFormat="1" x14ac:dyDescent="0.25">
      <c r="A134" s="5"/>
      <c r="B134" s="273" t="s">
        <v>926</v>
      </c>
      <c r="C134" s="273" t="s">
        <v>1</v>
      </c>
      <c r="D134" s="278">
        <f>E1GMI!D105*E1GMI!G105*'FE''s queima combustíveis'!$I$41/1000</f>
        <v>0</v>
      </c>
      <c r="E134" s="259"/>
      <c r="F134" s="238">
        <f t="shared" si="23"/>
        <v>0</v>
      </c>
      <c r="G134" s="590"/>
      <c r="H134" s="550" t="e">
        <f t="shared" si="24"/>
        <v>#DIV/0!</v>
      </c>
      <c r="I134" s="550" t="e">
        <f t="shared" si="25"/>
        <v>#DIV/0!</v>
      </c>
      <c r="J134" s="5"/>
      <c r="K134" s="5"/>
      <c r="L134" s="5"/>
      <c r="M134" s="5"/>
      <c r="N134" s="5"/>
      <c r="O134" s="5"/>
      <c r="P134" s="5"/>
      <c r="Q134" s="5"/>
      <c r="R134" s="5"/>
      <c r="S134" s="5"/>
      <c r="T134" s="5"/>
    </row>
    <row r="135" spans="1:20" s="547" customFormat="1" x14ac:dyDescent="0.25">
      <c r="A135" s="5"/>
      <c r="B135" s="273" t="s">
        <v>925</v>
      </c>
      <c r="C135" s="273" t="s">
        <v>1</v>
      </c>
      <c r="D135" s="278">
        <f>E1GMI!D106*E1GMI!G106*'FE''s queima combustíveis'!$I$41/1000</f>
        <v>0</v>
      </c>
      <c r="E135" s="259"/>
      <c r="F135" s="238">
        <f t="shared" si="23"/>
        <v>0</v>
      </c>
      <c r="G135" s="590"/>
      <c r="H135" s="550" t="e">
        <f t="shared" si="24"/>
        <v>#DIV/0!</v>
      </c>
      <c r="I135" s="550" t="e">
        <f t="shared" si="25"/>
        <v>#DIV/0!</v>
      </c>
      <c r="J135" s="5"/>
      <c r="K135" s="5"/>
      <c r="L135" s="5"/>
      <c r="M135" s="5"/>
      <c r="N135" s="5"/>
      <c r="O135" s="5"/>
      <c r="P135" s="5"/>
      <c r="Q135" s="5"/>
      <c r="R135" s="5"/>
      <c r="S135" s="5"/>
      <c r="T135" s="5"/>
    </row>
    <row r="136" spans="1:20" s="11" customFormat="1" x14ac:dyDescent="0.25">
      <c r="A136" s="5"/>
      <c r="B136" s="273" t="s">
        <v>581</v>
      </c>
      <c r="C136" s="273" t="s">
        <v>1</v>
      </c>
      <c r="D136" s="278">
        <f>D120*'FE''s queima combustíveis'!$I$46*('Dados auxiliares'!$D$27*1000)/1000</f>
        <v>0</v>
      </c>
      <c r="E136" s="259"/>
      <c r="F136" s="238">
        <f t="shared" si="23"/>
        <v>0</v>
      </c>
      <c r="G136" s="590"/>
      <c r="H136" s="550" t="e">
        <f t="shared" si="24"/>
        <v>#DIV/0!</v>
      </c>
      <c r="I136" s="550" t="e">
        <f t="shared" si="25"/>
        <v>#DIV/0!</v>
      </c>
      <c r="J136" s="5"/>
      <c r="K136" s="5"/>
      <c r="L136" s="5"/>
      <c r="M136" s="5"/>
      <c r="N136" s="5"/>
      <c r="O136" s="5"/>
      <c r="P136" s="5"/>
      <c r="Q136" s="5"/>
      <c r="R136" s="5"/>
      <c r="S136" s="5"/>
      <c r="T136" s="5"/>
    </row>
    <row r="137" spans="1:20" s="11" customFormat="1" x14ac:dyDescent="0.25">
      <c r="A137" s="5"/>
      <c r="B137" s="273" t="s">
        <v>520</v>
      </c>
      <c r="C137" s="273" t="s">
        <v>1</v>
      </c>
      <c r="D137" s="278">
        <f>D122*'FE''s queima combustíveis'!$I$38/1000</f>
        <v>0</v>
      </c>
      <c r="E137" s="259"/>
      <c r="F137" s="238">
        <f t="shared" si="23"/>
        <v>0</v>
      </c>
      <c r="G137" s="590"/>
      <c r="H137" s="550" t="e">
        <f t="shared" si="24"/>
        <v>#DIV/0!</v>
      </c>
      <c r="I137" s="550" t="e">
        <f t="shared" si="25"/>
        <v>#DIV/0!</v>
      </c>
      <c r="J137" s="5"/>
      <c r="K137" s="5"/>
      <c r="L137" s="5"/>
      <c r="M137" s="5"/>
      <c r="N137" s="5"/>
      <c r="O137" s="5"/>
      <c r="P137" s="5"/>
      <c r="Q137" s="5"/>
      <c r="R137" s="5"/>
      <c r="S137" s="5"/>
      <c r="T137" s="5"/>
    </row>
    <row r="138" spans="1:20" s="11" customFormat="1" x14ac:dyDescent="0.25">
      <c r="A138" s="5"/>
      <c r="B138" s="273" t="s">
        <v>518</v>
      </c>
      <c r="C138" s="273" t="s">
        <v>1</v>
      </c>
      <c r="D138" s="278">
        <f>D124*'FE''s queima combustíveis'!$I$39/1000</f>
        <v>0</v>
      </c>
      <c r="E138" s="259"/>
      <c r="F138" s="238">
        <f t="shared" si="23"/>
        <v>0</v>
      </c>
      <c r="G138" s="590"/>
      <c r="H138" s="550" t="e">
        <f t="shared" si="24"/>
        <v>#DIV/0!</v>
      </c>
      <c r="I138" s="550" t="e">
        <f t="shared" si="25"/>
        <v>#DIV/0!</v>
      </c>
      <c r="J138" s="5"/>
      <c r="K138" s="5"/>
      <c r="L138" s="5"/>
      <c r="M138" s="5"/>
      <c r="N138" s="5"/>
      <c r="O138" s="5"/>
      <c r="P138" s="5"/>
      <c r="Q138" s="5"/>
      <c r="R138" s="5"/>
      <c r="S138" s="5"/>
      <c r="T138" s="5"/>
    </row>
    <row r="139" spans="1:20" s="11" customFormat="1" x14ac:dyDescent="0.25">
      <c r="A139" s="5"/>
      <c r="B139" s="273" t="s">
        <v>519</v>
      </c>
      <c r="C139" s="273" t="s">
        <v>1</v>
      </c>
      <c r="D139" s="278">
        <f>D126*'FE''s queima combustíveis'!$I$40/1000</f>
        <v>0</v>
      </c>
      <c r="E139" s="259"/>
      <c r="F139" s="238">
        <f t="shared" si="23"/>
        <v>0</v>
      </c>
      <c r="G139" s="590"/>
      <c r="H139" s="550" t="e">
        <f t="shared" si="24"/>
        <v>#DIV/0!</v>
      </c>
      <c r="I139" s="550" t="e">
        <f t="shared" si="25"/>
        <v>#DIV/0!</v>
      </c>
      <c r="J139" s="5"/>
      <c r="K139" s="5"/>
      <c r="L139" s="5"/>
      <c r="M139" s="5"/>
      <c r="N139" s="5"/>
      <c r="O139" s="5"/>
      <c r="P139" s="5"/>
      <c r="Q139" s="5"/>
      <c r="R139" s="5"/>
      <c r="S139" s="5"/>
      <c r="T139" s="5"/>
    </row>
    <row r="140" spans="1:20" s="11" customFormat="1" x14ac:dyDescent="0.25">
      <c r="A140" s="5"/>
      <c r="B140" s="65"/>
      <c r="C140" s="14"/>
      <c r="D140" s="3"/>
      <c r="E140" s="68"/>
      <c r="F140" s="34"/>
      <c r="G140" s="615"/>
      <c r="J140" s="5"/>
      <c r="K140" s="5"/>
      <c r="L140" s="5"/>
      <c r="M140" s="5"/>
      <c r="N140" s="5"/>
      <c r="O140" s="5"/>
      <c r="P140" s="5"/>
      <c r="Q140" s="5"/>
      <c r="R140" s="5"/>
      <c r="S140" s="5"/>
      <c r="T140" s="5"/>
    </row>
    <row r="141" spans="1:20" s="11" customFormat="1" ht="18" x14ac:dyDescent="0.25">
      <c r="A141" s="5"/>
      <c r="B141" s="276" t="s">
        <v>54</v>
      </c>
      <c r="C141" s="274" t="s">
        <v>614</v>
      </c>
      <c r="D141" s="274"/>
      <c r="E141" s="275"/>
      <c r="F141" s="290">
        <f>SUM(F129:F139)</f>
        <v>0</v>
      </c>
      <c r="G141" s="597"/>
      <c r="H141" s="290" t="e">
        <f t="shared" si="24"/>
        <v>#DIV/0!</v>
      </c>
      <c r="I141" s="290" t="e">
        <f t="shared" ref="I141:I143" si="28">(F141/$E$93)*$F$93</f>
        <v>#DIV/0!</v>
      </c>
      <c r="J141" s="5"/>
      <c r="K141" s="5"/>
      <c r="L141" s="5"/>
      <c r="M141" s="5"/>
      <c r="N141" s="5"/>
      <c r="O141" s="5"/>
      <c r="P141" s="5"/>
      <c r="Q141" s="5"/>
      <c r="R141" s="5"/>
      <c r="S141" s="5"/>
      <c r="T141" s="5"/>
    </row>
    <row r="142" spans="1:20" s="11" customFormat="1" ht="18" x14ac:dyDescent="0.25">
      <c r="A142" s="5"/>
      <c r="B142" s="276" t="s">
        <v>61</v>
      </c>
      <c r="C142" s="274" t="s">
        <v>614</v>
      </c>
      <c r="D142" s="274"/>
      <c r="E142" s="275"/>
      <c r="F142" s="290" t="e">
        <f>SUM(F102:F127)</f>
        <v>#DIV/0!</v>
      </c>
      <c r="G142" s="597"/>
      <c r="H142" s="290" t="e">
        <f t="shared" si="24"/>
        <v>#DIV/0!</v>
      </c>
      <c r="I142" s="290" t="e">
        <f t="shared" si="28"/>
        <v>#DIV/0!</v>
      </c>
      <c r="J142" s="5"/>
      <c r="K142" s="5"/>
      <c r="L142" s="5"/>
      <c r="M142" s="5"/>
      <c r="N142" s="5"/>
      <c r="O142" s="5"/>
      <c r="P142" s="5"/>
      <c r="Q142" s="5"/>
      <c r="R142" s="5"/>
      <c r="S142" s="5"/>
      <c r="T142" s="5"/>
    </row>
    <row r="143" spans="1:20" s="11" customFormat="1" ht="18" x14ac:dyDescent="0.25">
      <c r="A143" s="5"/>
      <c r="B143" s="276" t="s">
        <v>55</v>
      </c>
      <c r="C143" s="274" t="s">
        <v>614</v>
      </c>
      <c r="D143" s="274"/>
      <c r="E143" s="275"/>
      <c r="F143" s="290" t="e">
        <f>F141+F142</f>
        <v>#DIV/0!</v>
      </c>
      <c r="G143" s="597"/>
      <c r="H143" s="290" t="e">
        <f t="shared" si="24"/>
        <v>#DIV/0!</v>
      </c>
      <c r="I143" s="290" t="e">
        <f t="shared" si="28"/>
        <v>#DIV/0!</v>
      </c>
      <c r="J143" s="5"/>
      <c r="K143" s="5"/>
      <c r="L143" s="5"/>
      <c r="M143" s="5"/>
      <c r="N143" s="5"/>
      <c r="O143" s="5"/>
      <c r="P143" s="5"/>
      <c r="Q143" s="5"/>
      <c r="R143" s="5"/>
      <c r="S143" s="5"/>
      <c r="T143" s="5"/>
    </row>
    <row r="144" spans="1:20" s="11" customFormat="1" x14ac:dyDescent="0.25">
      <c r="A144" s="5"/>
      <c r="B144" s="67"/>
      <c r="C144" s="67"/>
      <c r="D144" s="67"/>
      <c r="E144" s="67"/>
      <c r="F144" s="67"/>
      <c r="G144" s="362"/>
      <c r="J144" s="5"/>
      <c r="K144" s="5"/>
      <c r="L144" s="5"/>
      <c r="M144" s="5"/>
      <c r="N144" s="5"/>
      <c r="O144" s="5"/>
      <c r="P144" s="5"/>
      <c r="Q144" s="5"/>
      <c r="R144" s="5"/>
      <c r="S144" s="5"/>
      <c r="T144" s="5"/>
    </row>
    <row r="145" spans="1:20" s="11" customFormat="1" x14ac:dyDescent="0.25">
      <c r="A145" s="5"/>
      <c r="B145" s="67"/>
      <c r="C145" s="67"/>
      <c r="D145" s="67"/>
      <c r="E145" s="67"/>
      <c r="F145" s="67"/>
      <c r="G145" s="362"/>
      <c r="J145" s="5"/>
      <c r="K145" s="5"/>
      <c r="L145" s="5"/>
      <c r="M145" s="5"/>
      <c r="N145" s="5"/>
      <c r="O145" s="5"/>
      <c r="P145" s="5"/>
      <c r="Q145" s="5"/>
      <c r="R145" s="5"/>
      <c r="S145" s="5"/>
      <c r="T145" s="5"/>
    </row>
    <row r="146" spans="1:20" s="11" customFormat="1" ht="18.75" x14ac:dyDescent="0.25">
      <c r="A146" s="5"/>
      <c r="B146" s="737" t="s">
        <v>524</v>
      </c>
      <c r="C146" s="737"/>
      <c r="D146" s="737"/>
      <c r="E146" s="737"/>
      <c r="F146" s="737"/>
      <c r="G146" s="453"/>
      <c r="H146" s="362"/>
      <c r="J146" s="5"/>
      <c r="K146" s="5"/>
      <c r="L146" s="5"/>
      <c r="M146" s="5"/>
      <c r="N146" s="5"/>
      <c r="O146" s="5"/>
      <c r="P146" s="5"/>
      <c r="Q146" s="5"/>
      <c r="R146" s="5"/>
      <c r="S146" s="5"/>
      <c r="T146" s="5"/>
    </row>
    <row r="147" spans="1:20" s="11" customFormat="1" x14ac:dyDescent="0.25">
      <c r="A147" s="5"/>
      <c r="B147" s="573" t="s">
        <v>911</v>
      </c>
      <c r="C147" s="306"/>
      <c r="D147" s="306"/>
      <c r="E147" s="306"/>
      <c r="F147" s="306"/>
      <c r="G147" s="583"/>
      <c r="H147" s="362"/>
      <c r="J147" s="5"/>
      <c r="K147" s="5"/>
      <c r="L147" s="5"/>
      <c r="M147" s="5"/>
      <c r="N147" s="5"/>
      <c r="O147" s="5"/>
      <c r="P147" s="5"/>
      <c r="Q147" s="5"/>
      <c r="R147" s="5"/>
      <c r="S147" s="5"/>
      <c r="T147" s="5"/>
    </row>
    <row r="148" spans="1:20" s="11" customFormat="1" x14ac:dyDescent="0.25">
      <c r="A148" s="5"/>
      <c r="B148" s="300" t="s">
        <v>529</v>
      </c>
      <c r="C148" s="300" t="s">
        <v>0</v>
      </c>
      <c r="D148" s="300" t="s">
        <v>45</v>
      </c>
      <c r="E148" s="300" t="s">
        <v>46</v>
      </c>
      <c r="F148" s="300"/>
      <c r="G148" s="600"/>
      <c r="H148" s="362"/>
      <c r="J148" s="5"/>
      <c r="K148" s="5"/>
      <c r="L148" s="5"/>
      <c r="M148" s="5"/>
      <c r="N148" s="5"/>
      <c r="O148" s="5"/>
      <c r="P148" s="5"/>
      <c r="Q148" s="5"/>
      <c r="R148" s="5"/>
      <c r="S148" s="5"/>
      <c r="T148" s="5"/>
    </row>
    <row r="149" spans="1:20" s="11" customFormat="1" ht="18" x14ac:dyDescent="0.25">
      <c r="A149" s="5"/>
      <c r="B149" s="273" t="s">
        <v>525</v>
      </c>
      <c r="C149" s="274" t="s">
        <v>631</v>
      </c>
      <c r="D149" s="278">
        <f>$D$92*E1GMI!$D$126</f>
        <v>0</v>
      </c>
      <c r="E149" s="278" t="e">
        <f>$D$93*E1GMI!$E$126</f>
        <v>#VALUE!</v>
      </c>
      <c r="F149" s="301"/>
      <c r="G149" s="601"/>
      <c r="H149" s="362"/>
      <c r="J149" s="5"/>
      <c r="K149" s="5"/>
      <c r="L149" s="5"/>
      <c r="M149" s="5"/>
      <c r="N149" s="5"/>
      <c r="O149" s="5"/>
      <c r="P149" s="5"/>
      <c r="Q149" s="5"/>
      <c r="R149" s="5"/>
      <c r="S149" s="5"/>
      <c r="T149" s="5"/>
    </row>
    <row r="150" spans="1:20" s="11" customFormat="1" x14ac:dyDescent="0.25">
      <c r="A150" s="5"/>
      <c r="B150" s="273" t="s">
        <v>531</v>
      </c>
      <c r="C150" s="273" t="s">
        <v>258</v>
      </c>
      <c r="D150" s="616">
        <f>'Dados auxiliares'!H158</f>
        <v>600</v>
      </c>
      <c r="E150" s="616">
        <f>'Dados auxiliares'!H158</f>
        <v>600</v>
      </c>
      <c r="F150" s="301"/>
      <c r="G150" s="601"/>
      <c r="H150" s="362"/>
      <c r="J150" s="5"/>
      <c r="K150" s="5"/>
      <c r="L150" s="5"/>
      <c r="M150" s="5"/>
      <c r="N150" s="5"/>
      <c r="O150" s="5"/>
      <c r="P150" s="5"/>
      <c r="Q150" s="5"/>
      <c r="R150" s="5"/>
      <c r="S150" s="5"/>
      <c r="T150" s="5"/>
    </row>
    <row r="151" spans="1:20" s="11" customFormat="1" ht="18" x14ac:dyDescent="0.25">
      <c r="A151" s="5"/>
      <c r="B151" s="273" t="s">
        <v>528</v>
      </c>
      <c r="C151" s="274" t="s">
        <v>632</v>
      </c>
      <c r="D151" s="607">
        <f>D149/1000*D150</f>
        <v>0</v>
      </c>
      <c r="E151" s="607" t="e">
        <f>E149/1000*E150</f>
        <v>#VALUE!</v>
      </c>
      <c r="F151" s="301"/>
      <c r="G151" s="601"/>
      <c r="H151" s="362"/>
      <c r="J151" s="5"/>
      <c r="K151" s="5"/>
      <c r="L151" s="5"/>
      <c r="M151" s="5"/>
      <c r="N151" s="5"/>
      <c r="O151" s="5"/>
      <c r="P151" s="5"/>
      <c r="Q151" s="5"/>
      <c r="R151" s="5"/>
      <c r="S151" s="5"/>
      <c r="T151" s="5"/>
    </row>
    <row r="152" spans="1:20" s="11" customFormat="1" x14ac:dyDescent="0.25">
      <c r="A152" s="5"/>
      <c r="B152" s="273" t="s">
        <v>639</v>
      </c>
      <c r="C152" s="273" t="s">
        <v>258</v>
      </c>
      <c r="D152" s="616">
        <f>'Dados auxiliares'!J158</f>
        <v>13000</v>
      </c>
      <c r="E152" s="616">
        <f>'Dados auxiliares'!J158</f>
        <v>13000</v>
      </c>
      <c r="F152" s="301"/>
      <c r="G152" s="601"/>
      <c r="H152" s="362"/>
      <c r="J152" s="5"/>
      <c r="K152" s="5"/>
      <c r="L152" s="5"/>
      <c r="M152" s="5"/>
      <c r="N152" s="5"/>
      <c r="O152" s="5"/>
      <c r="P152" s="5"/>
      <c r="Q152" s="5"/>
      <c r="R152" s="5"/>
      <c r="S152" s="5"/>
      <c r="T152" s="5"/>
    </row>
    <row r="153" spans="1:20" s="11" customFormat="1" ht="18" x14ac:dyDescent="0.25">
      <c r="A153" s="5"/>
      <c r="B153" s="273" t="s">
        <v>640</v>
      </c>
      <c r="C153" s="274" t="s">
        <v>632</v>
      </c>
      <c r="D153" s="607">
        <f>D149/1000*D152</f>
        <v>0</v>
      </c>
      <c r="E153" s="607" t="e">
        <f>E149/1000*E152</f>
        <v>#VALUE!</v>
      </c>
      <c r="F153" s="301"/>
      <c r="G153" s="601"/>
      <c r="H153" s="362"/>
      <c r="J153" s="5"/>
      <c r="K153" s="5"/>
      <c r="L153" s="5"/>
      <c r="M153" s="5"/>
      <c r="N153" s="5"/>
      <c r="O153" s="5"/>
      <c r="P153" s="5"/>
      <c r="Q153" s="5"/>
      <c r="R153" s="5"/>
      <c r="S153" s="5"/>
      <c r="T153" s="5"/>
    </row>
    <row r="154" spans="1:20" s="11" customFormat="1" x14ac:dyDescent="0.25">
      <c r="A154" s="5"/>
      <c r="B154" s="273" t="s">
        <v>534</v>
      </c>
      <c r="C154" s="273" t="s">
        <v>258</v>
      </c>
      <c r="D154" s="616">
        <f>'Dados auxiliares'!I158</f>
        <v>1400</v>
      </c>
      <c r="E154" s="616">
        <f>'Dados auxiliares'!I158</f>
        <v>1400</v>
      </c>
      <c r="F154" s="301"/>
      <c r="G154" s="601"/>
      <c r="H154" s="362"/>
      <c r="J154" s="5"/>
      <c r="K154" s="5"/>
      <c r="L154" s="5"/>
      <c r="M154" s="5"/>
      <c r="N154" s="5"/>
      <c r="O154" s="5"/>
      <c r="P154" s="5"/>
      <c r="Q154" s="5"/>
      <c r="R154" s="5"/>
      <c r="S154" s="5"/>
      <c r="T154" s="5"/>
    </row>
    <row r="155" spans="1:20" s="11" customFormat="1" ht="18" x14ac:dyDescent="0.25">
      <c r="A155" s="5"/>
      <c r="B155" s="273" t="s">
        <v>311</v>
      </c>
      <c r="C155" s="274" t="s">
        <v>632</v>
      </c>
      <c r="D155" s="278">
        <f>D149/1000*D154</f>
        <v>0</v>
      </c>
      <c r="E155" s="278" t="e">
        <f>E149/1000*E154</f>
        <v>#VALUE!</v>
      </c>
      <c r="F155" s="301"/>
      <c r="G155" s="601"/>
      <c r="H155" s="362"/>
      <c r="J155" s="5"/>
      <c r="K155" s="5"/>
      <c r="L155" s="5"/>
      <c r="M155" s="5"/>
      <c r="N155" s="5"/>
      <c r="O155" s="5"/>
      <c r="P155" s="5"/>
      <c r="Q155" s="5"/>
      <c r="R155" s="5"/>
      <c r="S155" s="5"/>
      <c r="T155" s="5"/>
    </row>
    <row r="156" spans="1:20" s="11" customFormat="1" ht="18" x14ac:dyDescent="0.25">
      <c r="A156" s="5"/>
      <c r="B156" s="273" t="s">
        <v>52</v>
      </c>
      <c r="C156" s="274" t="s">
        <v>614</v>
      </c>
      <c r="D156" s="278">
        <f>D151*'Dados auxiliares'!$H$132+D153*'Dados auxiliares'!$H$133+D155*'Dados auxiliares'!$H$135</f>
        <v>0</v>
      </c>
      <c r="E156" s="278" t="e">
        <f>E151*'Dados auxiliares'!$H$132+E153*'Dados auxiliares'!$H$133+E155*'Dados auxiliares'!$H$135</f>
        <v>#VALUE!</v>
      </c>
      <c r="F156" s="301"/>
      <c r="G156" s="601"/>
      <c r="H156" s="362"/>
      <c r="J156" s="5"/>
      <c r="K156" s="5"/>
      <c r="L156" s="5"/>
      <c r="M156" s="5"/>
      <c r="N156" s="5"/>
      <c r="O156" s="5"/>
      <c r="P156" s="5"/>
      <c r="Q156" s="5"/>
      <c r="R156" s="5"/>
      <c r="S156" s="5"/>
      <c r="T156" s="5"/>
    </row>
    <row r="157" spans="1:20" s="11" customFormat="1" ht="18" x14ac:dyDescent="0.25">
      <c r="A157" s="5"/>
      <c r="B157" s="302" t="s">
        <v>52</v>
      </c>
      <c r="C157" s="303" t="s">
        <v>530</v>
      </c>
      <c r="D157" s="304" t="e">
        <f>D156/$E$92</f>
        <v>#DIV/0!</v>
      </c>
      <c r="E157" s="304" t="e">
        <f>E156/$E$93</f>
        <v>#VALUE!</v>
      </c>
      <c r="F157" s="304"/>
      <c r="G157" s="601"/>
      <c r="H157" s="362"/>
      <c r="J157" s="5"/>
      <c r="K157" s="5"/>
      <c r="L157" s="5"/>
      <c r="M157" s="5"/>
      <c r="N157" s="5"/>
      <c r="O157" s="5"/>
      <c r="P157" s="5"/>
      <c r="Q157" s="5"/>
      <c r="R157" s="5"/>
      <c r="S157" s="5"/>
      <c r="T157" s="5"/>
    </row>
    <row r="158" spans="1:20" s="11" customFormat="1" ht="6" customHeight="1" x14ac:dyDescent="0.25">
      <c r="A158" s="5"/>
      <c r="B158" s="71"/>
      <c r="C158" s="71"/>
      <c r="D158" s="71"/>
      <c r="E158" s="71"/>
      <c r="F158" s="71"/>
      <c r="G158" s="71"/>
      <c r="H158" s="362"/>
      <c r="J158" s="5"/>
      <c r="K158" s="5"/>
      <c r="L158" s="5"/>
      <c r="M158" s="5"/>
      <c r="N158" s="5"/>
      <c r="O158" s="5"/>
      <c r="P158" s="5"/>
      <c r="Q158" s="5"/>
      <c r="R158" s="5"/>
      <c r="S158" s="5"/>
      <c r="T158" s="5"/>
    </row>
    <row r="159" spans="1:20" s="11" customFormat="1" ht="18" x14ac:dyDescent="0.25">
      <c r="A159" s="5"/>
      <c r="B159" s="279" t="s">
        <v>55</v>
      </c>
      <c r="C159" s="279" t="s">
        <v>535</v>
      </c>
      <c r="D159" s="305" t="e">
        <f>D157</f>
        <v>#DIV/0!</v>
      </c>
      <c r="E159" s="305" t="e">
        <f>E157</f>
        <v>#VALUE!</v>
      </c>
      <c r="F159" s="305"/>
      <c r="G159" s="602"/>
      <c r="H159" s="362"/>
      <c r="J159" s="5"/>
      <c r="K159" s="5"/>
      <c r="L159" s="5"/>
      <c r="M159" s="5"/>
      <c r="N159" s="5"/>
      <c r="O159" s="5"/>
      <c r="P159" s="5"/>
      <c r="Q159" s="5"/>
      <c r="R159" s="5"/>
      <c r="S159" s="5"/>
      <c r="T159" s="5"/>
    </row>
    <row r="160" spans="1:20" s="11" customFormat="1" x14ac:dyDescent="0.25">
      <c r="A160" s="5"/>
      <c r="B160" s="5"/>
      <c r="C160" s="5"/>
      <c r="E160" s="5"/>
      <c r="F160" s="5"/>
      <c r="G160" s="5"/>
      <c r="H160" s="362"/>
      <c r="J160" s="5"/>
      <c r="K160" s="5"/>
      <c r="L160" s="5"/>
      <c r="M160" s="5"/>
      <c r="N160" s="5"/>
      <c r="O160" s="5"/>
      <c r="P160" s="5"/>
      <c r="Q160" s="5"/>
      <c r="R160" s="5"/>
      <c r="S160" s="5"/>
      <c r="T160" s="5"/>
    </row>
  </sheetData>
  <mergeCells count="12">
    <mergeCell ref="B146:F146"/>
    <mergeCell ref="B2:F2"/>
    <mergeCell ref="C3:D3"/>
    <mergeCell ref="E3:F3"/>
    <mergeCell ref="C4:D4"/>
    <mergeCell ref="E4:F4"/>
    <mergeCell ref="B11:F11"/>
    <mergeCell ref="H11:H15"/>
    <mergeCell ref="I11:I15"/>
    <mergeCell ref="H90:H99"/>
    <mergeCell ref="I90:I99"/>
    <mergeCell ref="B90:F90"/>
  </mergeCells>
  <pageMargins left="0.511811024" right="0.511811024" top="0.78740157499999996" bottom="0.78740157499999996" header="0.31496062000000002" footer="0.31496062000000002"/>
  <pageSetup paperSize="9" orientation="portrait" r:id="rId1"/>
  <ignoredErrors>
    <ignoredError sqref="D5:D6"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21">
    <tabColor rgb="FFA8C615"/>
  </sheetPr>
  <dimension ref="B1:AB439"/>
  <sheetViews>
    <sheetView showGridLines="0" workbookViewId="0">
      <selection activeCell="D28" sqref="D28"/>
    </sheetView>
  </sheetViews>
  <sheetFormatPr defaultColWidth="9.140625" defaultRowHeight="15" x14ac:dyDescent="0.25"/>
  <cols>
    <col min="1" max="1" width="5.7109375" style="85" customWidth="1"/>
    <col min="2" max="2" width="35.7109375" style="85" customWidth="1"/>
    <col min="3" max="3" width="20.7109375" style="85" customWidth="1"/>
    <col min="4" max="4" width="15.7109375" style="88" customWidth="1"/>
    <col min="5" max="5" width="16.7109375" style="85" customWidth="1"/>
    <col min="6" max="6" width="34.5703125" style="85" customWidth="1"/>
    <col min="7" max="7" width="21.42578125" style="85" customWidth="1"/>
    <col min="8" max="8" width="17.85546875" style="85" customWidth="1"/>
    <col min="9" max="9" width="9.140625" style="327"/>
    <col min="10" max="12" width="9.140625" style="327" customWidth="1"/>
    <col min="13" max="28" width="9.140625" style="327"/>
    <col min="29" max="16384" width="9.140625" style="85"/>
  </cols>
  <sheetData>
    <row r="1" spans="2:28" ht="90" customHeight="1" x14ac:dyDescent="0.25">
      <c r="B1" s="120"/>
      <c r="C1" s="120"/>
      <c r="D1" s="120"/>
      <c r="E1" s="120"/>
      <c r="F1" s="120"/>
      <c r="G1" s="120"/>
      <c r="H1" s="120"/>
      <c r="I1" s="623"/>
    </row>
    <row r="2" spans="2:28" s="52" customFormat="1" ht="25.15" customHeight="1" x14ac:dyDescent="0.25">
      <c r="B2" s="52" t="s">
        <v>123</v>
      </c>
      <c r="I2" s="624"/>
      <c r="J2" s="624"/>
      <c r="K2" s="624"/>
      <c r="L2" s="624"/>
      <c r="M2" s="624"/>
      <c r="N2" s="624"/>
      <c r="O2" s="624"/>
      <c r="P2" s="624"/>
      <c r="Q2" s="624"/>
      <c r="R2" s="624"/>
      <c r="S2" s="624"/>
      <c r="T2" s="624"/>
      <c r="U2" s="624"/>
      <c r="V2" s="624"/>
      <c r="W2" s="624"/>
      <c r="X2" s="624"/>
      <c r="Y2" s="624"/>
      <c r="Z2" s="624"/>
      <c r="AA2" s="624"/>
      <c r="AB2" s="624"/>
    </row>
    <row r="3" spans="2:28" s="108" customFormat="1" x14ac:dyDescent="0.25">
      <c r="C3" s="103"/>
      <c r="I3" s="571"/>
      <c r="J3" s="571"/>
      <c r="K3" s="571"/>
      <c r="L3" s="571"/>
      <c r="M3" s="571"/>
      <c r="N3" s="571"/>
      <c r="O3" s="571"/>
      <c r="P3" s="571"/>
      <c r="Q3" s="571"/>
      <c r="R3" s="571"/>
      <c r="S3" s="571"/>
      <c r="T3" s="571"/>
      <c r="U3" s="571"/>
      <c r="V3" s="571"/>
      <c r="W3" s="571"/>
      <c r="X3" s="571"/>
      <c r="Y3" s="571"/>
      <c r="Z3" s="571"/>
      <c r="AA3" s="571"/>
      <c r="AB3" s="571"/>
    </row>
    <row r="4" spans="2:28" ht="15.75" x14ac:dyDescent="0.25">
      <c r="B4" s="181" t="s">
        <v>238</v>
      </c>
      <c r="C4" s="726"/>
      <c r="D4" s="727"/>
      <c r="E4" s="727"/>
      <c r="F4" s="727"/>
      <c r="G4" s="727"/>
      <c r="H4" s="728"/>
      <c r="I4" s="571"/>
    </row>
    <row r="5" spans="2:28" ht="6" customHeight="1" x14ac:dyDescent="0.25">
      <c r="B5" s="182"/>
      <c r="C5" s="114"/>
      <c r="D5" s="114"/>
      <c r="E5" s="114"/>
      <c r="F5" s="114"/>
      <c r="G5" s="114"/>
      <c r="H5" s="114"/>
      <c r="I5" s="571"/>
    </row>
    <row r="6" spans="2:28" ht="15.75" x14ac:dyDescent="0.25">
      <c r="B6" s="181" t="s">
        <v>342</v>
      </c>
      <c r="C6" s="726" t="s">
        <v>343</v>
      </c>
      <c r="D6" s="727"/>
      <c r="E6" s="727"/>
      <c r="F6" s="727"/>
      <c r="G6" s="727"/>
      <c r="H6" s="728"/>
      <c r="I6" s="571"/>
    </row>
    <row r="7" spans="2:28" ht="6" customHeight="1" x14ac:dyDescent="0.25">
      <c r="B7" s="181"/>
      <c r="C7" s="114"/>
      <c r="D7" s="114"/>
      <c r="E7" s="114"/>
      <c r="F7" s="114"/>
      <c r="G7" s="114"/>
      <c r="H7" s="114"/>
      <c r="I7" s="571"/>
    </row>
    <row r="8" spans="2:28" ht="15.75" x14ac:dyDescent="0.25">
      <c r="B8" s="181" t="s">
        <v>239</v>
      </c>
      <c r="C8" s="726"/>
      <c r="D8" s="727"/>
      <c r="E8" s="727"/>
      <c r="F8" s="727"/>
      <c r="G8" s="727"/>
      <c r="H8" s="728"/>
      <c r="I8" s="571"/>
    </row>
    <row r="9" spans="2:28" ht="6" customHeight="1" x14ac:dyDescent="0.25">
      <c r="B9" s="182"/>
      <c r="C9" s="114"/>
      <c r="D9" s="114"/>
      <c r="E9" s="115"/>
      <c r="F9" s="115"/>
      <c r="G9" s="115"/>
      <c r="H9" s="115"/>
      <c r="I9" s="571"/>
    </row>
    <row r="10" spans="2:28" ht="15.75" x14ac:dyDescent="0.25">
      <c r="B10" s="181" t="s">
        <v>240</v>
      </c>
      <c r="C10" s="726" t="s">
        <v>344</v>
      </c>
      <c r="D10" s="728"/>
      <c r="E10" s="116"/>
      <c r="F10" s="108"/>
      <c r="G10" s="108"/>
      <c r="H10" s="108"/>
      <c r="I10" s="571"/>
    </row>
    <row r="11" spans="2:28" s="108" customFormat="1" ht="15.75" x14ac:dyDescent="0.25">
      <c r="C11" s="112"/>
      <c r="I11" s="571"/>
      <c r="J11" s="571"/>
      <c r="K11" s="571"/>
      <c r="L11" s="571"/>
      <c r="M11" s="571"/>
      <c r="N11" s="571"/>
      <c r="O11" s="571"/>
      <c r="P11" s="571"/>
      <c r="Q11" s="571"/>
      <c r="R11" s="571"/>
      <c r="S11" s="571"/>
      <c r="T11" s="571"/>
      <c r="U11" s="571"/>
      <c r="V11" s="571"/>
      <c r="W11" s="571"/>
      <c r="X11" s="571"/>
      <c r="Y11" s="571"/>
      <c r="Z11" s="571"/>
      <c r="AA11" s="571"/>
      <c r="AB11" s="571"/>
    </row>
    <row r="12" spans="2:28" ht="6" customHeight="1" x14ac:dyDescent="0.25">
      <c r="B12" s="151"/>
      <c r="C12" s="99"/>
      <c r="D12" s="99"/>
      <c r="E12" s="84"/>
      <c r="F12" s="99"/>
      <c r="G12" s="84"/>
      <c r="H12" s="84"/>
      <c r="I12" s="571"/>
      <c r="J12" s="571"/>
    </row>
    <row r="13" spans="2:28" ht="17.25" x14ac:dyDescent="0.25">
      <c r="B13" s="43"/>
      <c r="C13" s="729" t="s">
        <v>123</v>
      </c>
      <c r="D13" s="729"/>
      <c r="E13" s="84"/>
      <c r="F13" s="84"/>
      <c r="G13" s="84"/>
      <c r="H13" s="84"/>
      <c r="I13" s="571"/>
      <c r="J13" s="625"/>
    </row>
    <row r="14" spans="2:28" ht="6" customHeight="1" x14ac:dyDescent="0.25">
      <c r="B14" s="43"/>
      <c r="C14" s="95"/>
      <c r="D14" s="83"/>
      <c r="E14" s="84"/>
      <c r="F14" s="33"/>
      <c r="G14" s="84"/>
      <c r="H14" s="84"/>
      <c r="I14" s="571"/>
      <c r="J14" s="625"/>
    </row>
    <row r="15" spans="2:28" ht="31.5" x14ac:dyDescent="0.25">
      <c r="B15" s="534" t="s">
        <v>829</v>
      </c>
      <c r="C15" s="155">
        <f>IFERROR(_Biodiesel!C4,SUM(C17:C22))</f>
        <v>0.439</v>
      </c>
      <c r="D15" s="736" t="s">
        <v>828</v>
      </c>
      <c r="E15" s="736"/>
      <c r="F15" s="736"/>
      <c r="G15" s="155">
        <f>G18-C15</f>
        <v>86.061000000000007</v>
      </c>
      <c r="H15" s="84"/>
      <c r="I15" s="571"/>
      <c r="J15" s="571"/>
    </row>
    <row r="16" spans="2:28" ht="6" customHeight="1" x14ac:dyDescent="0.25">
      <c r="B16" s="152"/>
      <c r="C16" s="82"/>
      <c r="D16" s="83"/>
      <c r="E16" s="84"/>
      <c r="F16" s="84"/>
      <c r="G16" s="84"/>
      <c r="H16" s="84"/>
      <c r="I16" s="571"/>
      <c r="J16" s="571"/>
    </row>
    <row r="17" spans="2:16" ht="15.75" x14ac:dyDescent="0.25">
      <c r="B17" s="385" t="s">
        <v>930</v>
      </c>
      <c r="C17" s="142">
        <f>IFERROR(_Biodiesel!C5,0)</f>
        <v>0</v>
      </c>
      <c r="D17" s="83"/>
      <c r="E17" s="84"/>
      <c r="F17" s="153"/>
      <c r="G17" s="153" t="s">
        <v>864</v>
      </c>
      <c r="H17" s="84"/>
      <c r="I17" s="571"/>
      <c r="J17" s="571"/>
    </row>
    <row r="18" spans="2:16" ht="17.25" x14ac:dyDescent="0.25">
      <c r="B18" s="385" t="s">
        <v>931</v>
      </c>
      <c r="C18" s="142">
        <f>IFERROR(_Biodiesel!C6,0)</f>
        <v>0</v>
      </c>
      <c r="D18" s="83"/>
      <c r="E18" s="84"/>
      <c r="F18" s="153"/>
      <c r="G18" s="580">
        <f>'Dados auxiliares'!F168</f>
        <v>86.5</v>
      </c>
      <c r="H18" s="84"/>
      <c r="I18" s="571"/>
      <c r="J18" s="571"/>
    </row>
    <row r="19" spans="2:16" ht="15.75" x14ac:dyDescent="0.25">
      <c r="B19" s="385" t="s">
        <v>862</v>
      </c>
      <c r="C19" s="142">
        <f>IFERROR(_Biodiesel!C7,0)</f>
        <v>0</v>
      </c>
      <c r="D19" s="83"/>
      <c r="E19" s="84"/>
      <c r="F19" s="153"/>
      <c r="G19" s="153"/>
      <c r="H19" s="153"/>
      <c r="I19" s="571"/>
      <c r="J19" s="571"/>
    </row>
    <row r="20" spans="2:16" ht="15.75" x14ac:dyDescent="0.25">
      <c r="B20" s="385" t="s">
        <v>863</v>
      </c>
      <c r="C20" s="142">
        <f>IFERROR(_Biodiesel!C8,0)</f>
        <v>0</v>
      </c>
      <c r="D20" s="83"/>
      <c r="E20" s="84"/>
      <c r="F20" s="153"/>
      <c r="G20" s="153" t="s">
        <v>539</v>
      </c>
      <c r="H20" s="84"/>
      <c r="I20" s="571"/>
      <c r="J20" s="571"/>
    </row>
    <row r="21" spans="2:16" ht="17.25" x14ac:dyDescent="0.25">
      <c r="B21" s="385" t="s">
        <v>161</v>
      </c>
      <c r="C21" s="142">
        <f>IFERROR(_Biodiesel!C9,0)</f>
        <v>0</v>
      </c>
      <c r="D21" s="83"/>
      <c r="E21" s="84"/>
      <c r="F21" s="153"/>
      <c r="G21" s="154">
        <f>(G18-C15)/G18</f>
        <v>0.99492485549132958</v>
      </c>
      <c r="H21" s="84"/>
      <c r="I21" s="571"/>
      <c r="J21" s="571"/>
    </row>
    <row r="22" spans="2:16" ht="15.75" x14ac:dyDescent="0.25">
      <c r="B22" s="385" t="s">
        <v>189</v>
      </c>
      <c r="C22" s="142">
        <f>IFERROR(_Biodiesel!C10,0)</f>
        <v>0.439</v>
      </c>
      <c r="D22" s="83"/>
      <c r="E22" s="84"/>
      <c r="F22" s="153"/>
      <c r="G22" s="84"/>
      <c r="H22" s="84"/>
      <c r="I22" s="571"/>
      <c r="J22" s="571"/>
    </row>
    <row r="23" spans="2:16" ht="6" customHeight="1" x14ac:dyDescent="0.25">
      <c r="B23" s="220"/>
      <c r="C23" s="55"/>
      <c r="D23" s="83"/>
      <c r="E23" s="84"/>
      <c r="F23" s="84"/>
      <c r="G23" s="84"/>
      <c r="H23" s="84"/>
      <c r="I23" s="571"/>
    </row>
    <row r="24" spans="2:16" x14ac:dyDescent="0.25">
      <c r="D24" s="85"/>
      <c r="G24" s="313"/>
    </row>
    <row r="25" spans="2:16" ht="18.75" x14ac:dyDescent="0.25">
      <c r="B25" s="732" t="s">
        <v>951</v>
      </c>
      <c r="C25" s="732"/>
      <c r="D25" s="732"/>
      <c r="E25" s="732"/>
      <c r="F25" s="732"/>
      <c r="G25" s="732"/>
      <c r="H25" s="732"/>
    </row>
    <row r="26" spans="2:16" ht="15.75" x14ac:dyDescent="0.25">
      <c r="B26" s="725" t="s">
        <v>276</v>
      </c>
      <c r="C26" s="725"/>
      <c r="D26" s="725"/>
      <c r="E26" s="725"/>
      <c r="F26" s="725"/>
      <c r="G26" s="725"/>
      <c r="H26" s="725"/>
      <c r="K26" s="310"/>
      <c r="L26" s="310"/>
      <c r="N26" s="312"/>
      <c r="O26" s="312"/>
      <c r="P26" s="312"/>
    </row>
    <row r="27" spans="2:16" hidden="1" x14ac:dyDescent="0.25">
      <c r="B27" s="24"/>
      <c r="C27" s="91" t="s">
        <v>348</v>
      </c>
      <c r="D27" s="629" t="s">
        <v>127</v>
      </c>
      <c r="E27" s="27"/>
      <c r="F27" s="27"/>
      <c r="G27" s="27"/>
      <c r="H27" s="73"/>
      <c r="K27" s="310"/>
      <c r="L27" s="310"/>
      <c r="N27" s="312"/>
      <c r="O27" s="312"/>
      <c r="P27" s="312"/>
    </row>
    <row r="28" spans="2:16" x14ac:dyDescent="0.25">
      <c r="B28" s="24"/>
      <c r="C28" s="91" t="s">
        <v>355</v>
      </c>
      <c r="D28" s="644"/>
      <c r="E28" s="92" t="s">
        <v>36</v>
      </c>
      <c r="F28" s="545"/>
      <c r="G28" s="89"/>
      <c r="H28" s="73"/>
      <c r="N28" s="312"/>
      <c r="O28" s="312"/>
      <c r="P28" s="312"/>
    </row>
    <row r="29" spans="2:16" ht="6" customHeight="1" x14ac:dyDescent="0.25">
      <c r="D29" s="85"/>
      <c r="K29" s="626"/>
      <c r="L29" s="626"/>
      <c r="N29" s="312"/>
      <c r="O29" s="312"/>
      <c r="P29" s="312"/>
    </row>
    <row r="30" spans="2:16" x14ac:dyDescent="0.25">
      <c r="B30" s="24"/>
      <c r="C30" s="91" t="s">
        <v>604</v>
      </c>
      <c r="D30" s="644"/>
      <c r="E30" s="92" t="s">
        <v>445</v>
      </c>
      <c r="F30" s="311" t="s">
        <v>134</v>
      </c>
      <c r="G30" s="670"/>
      <c r="H30" s="73"/>
      <c r="P30" s="312"/>
    </row>
    <row r="31" spans="2:16" ht="30" customHeight="1" x14ac:dyDescent="0.25">
      <c r="B31" s="742" t="s">
        <v>996</v>
      </c>
      <c r="C31" s="743"/>
      <c r="D31" s="644"/>
      <c r="E31" s="685" t="s">
        <v>445</v>
      </c>
      <c r="F31" s="686"/>
      <c r="G31" s="687"/>
      <c r="H31" s="688"/>
      <c r="P31" s="312"/>
    </row>
    <row r="32" spans="2:16" ht="6" customHeight="1" x14ac:dyDescent="0.25">
      <c r="B32" s="96"/>
      <c r="C32" s="96"/>
      <c r="D32" s="96"/>
      <c r="E32" s="96"/>
      <c r="F32" s="96"/>
      <c r="G32" s="96"/>
      <c r="H32" s="96"/>
      <c r="P32" s="312"/>
    </row>
    <row r="33" spans="2:12" ht="15.75" x14ac:dyDescent="0.25">
      <c r="B33" s="723" t="s">
        <v>338</v>
      </c>
      <c r="C33" s="723"/>
      <c r="D33" s="723"/>
      <c r="E33" s="723"/>
      <c r="F33" s="723"/>
      <c r="G33" s="723"/>
      <c r="H33" s="723"/>
    </row>
    <row r="34" spans="2:12" x14ac:dyDescent="0.25">
      <c r="B34" s="97"/>
      <c r="C34" s="93" t="s">
        <v>164</v>
      </c>
      <c r="D34" s="644"/>
      <c r="E34" s="92" t="s">
        <v>446</v>
      </c>
      <c r="F34" s="545"/>
      <c r="G34" s="89"/>
      <c r="H34" s="73"/>
    </row>
    <row r="35" spans="2:12" x14ac:dyDescent="0.25">
      <c r="B35" s="97"/>
      <c r="C35" s="93" t="s">
        <v>163</v>
      </c>
      <c r="D35" s="644"/>
      <c r="E35" s="92" t="s">
        <v>446</v>
      </c>
      <c r="F35" s="545"/>
      <c r="G35" s="89"/>
      <c r="H35" s="73"/>
    </row>
    <row r="36" spans="2:12" x14ac:dyDescent="0.25">
      <c r="B36" s="97"/>
      <c r="C36" s="93" t="s">
        <v>28</v>
      </c>
      <c r="D36" s="644"/>
      <c r="E36" s="92" t="s">
        <v>446</v>
      </c>
      <c r="F36" s="545"/>
      <c r="G36" s="89"/>
      <c r="H36" s="73"/>
    </row>
    <row r="37" spans="2:12" ht="6" customHeight="1" x14ac:dyDescent="0.25">
      <c r="B37" s="96"/>
      <c r="C37" s="96"/>
      <c r="D37" s="96"/>
      <c r="E37" s="96"/>
      <c r="F37" s="96"/>
      <c r="G37" s="96"/>
      <c r="H37" s="96"/>
    </row>
    <row r="38" spans="2:12" ht="15.75" x14ac:dyDescent="0.25">
      <c r="B38" s="723" t="s">
        <v>341</v>
      </c>
      <c r="C38" s="723"/>
      <c r="D38" s="723"/>
      <c r="E38" s="723"/>
      <c r="F38" s="723"/>
      <c r="G38" s="723"/>
      <c r="H38" s="723"/>
      <c r="K38" s="626"/>
      <c r="L38" s="626"/>
    </row>
    <row r="39" spans="2:12" x14ac:dyDescent="0.25">
      <c r="B39" s="93"/>
      <c r="C39" s="93" t="s">
        <v>341</v>
      </c>
      <c r="D39" s="644"/>
      <c r="E39" s="92" t="s">
        <v>446</v>
      </c>
      <c r="F39" s="27"/>
      <c r="G39" s="73"/>
      <c r="H39" s="73"/>
    </row>
    <row r="40" spans="2:12" ht="6" customHeight="1" x14ac:dyDescent="0.25">
      <c r="B40" s="93"/>
      <c r="C40" s="96"/>
      <c r="D40" s="96"/>
      <c r="E40" s="96"/>
      <c r="F40" s="96"/>
      <c r="G40" s="96"/>
      <c r="H40" s="96"/>
    </row>
    <row r="41" spans="2:12" ht="15.75" x14ac:dyDescent="0.25">
      <c r="B41" s="723" t="s">
        <v>339</v>
      </c>
      <c r="C41" s="723"/>
      <c r="D41" s="723"/>
      <c r="E41" s="723"/>
      <c r="F41" s="723"/>
      <c r="G41" s="723"/>
      <c r="H41" s="723"/>
    </row>
    <row r="42" spans="2:12" x14ac:dyDescent="0.25">
      <c r="B42" s="86"/>
      <c r="C42" s="179" t="s">
        <v>153</v>
      </c>
      <c r="D42" s="644"/>
      <c r="E42" s="94" t="s">
        <v>540</v>
      </c>
      <c r="F42" s="59"/>
      <c r="G42" s="73"/>
      <c r="H42" s="73"/>
    </row>
    <row r="43" spans="2:12" x14ac:dyDescent="0.25">
      <c r="B43" s="86"/>
      <c r="C43" s="179" t="s">
        <v>463</v>
      </c>
      <c r="D43" s="644"/>
      <c r="E43" s="94" t="s">
        <v>540</v>
      </c>
      <c r="F43" s="59"/>
      <c r="G43" s="73"/>
      <c r="H43" s="73"/>
    </row>
    <row r="44" spans="2:12" x14ac:dyDescent="0.25">
      <c r="B44" s="86"/>
      <c r="C44" s="179" t="s">
        <v>463</v>
      </c>
      <c r="D44" s="644"/>
      <c r="E44" s="94" t="s">
        <v>541</v>
      </c>
      <c r="F44" s="59"/>
      <c r="G44" s="73"/>
      <c r="H44" s="73"/>
    </row>
    <row r="45" spans="2:12" x14ac:dyDescent="0.25">
      <c r="B45" s="86"/>
      <c r="C45" s="179" t="s">
        <v>464</v>
      </c>
      <c r="D45" s="644"/>
      <c r="E45" s="94" t="s">
        <v>540</v>
      </c>
      <c r="F45" s="59"/>
      <c r="G45" s="73"/>
      <c r="H45" s="73"/>
    </row>
    <row r="46" spans="2:12" x14ac:dyDescent="0.25">
      <c r="B46" s="86"/>
      <c r="C46" s="179" t="s">
        <v>464</v>
      </c>
      <c r="D46" s="644"/>
      <c r="E46" s="94" t="s">
        <v>541</v>
      </c>
      <c r="F46" s="59"/>
      <c r="G46" s="73"/>
      <c r="H46" s="73"/>
    </row>
    <row r="47" spans="2:12" x14ac:dyDescent="0.25">
      <c r="B47" s="86"/>
      <c r="C47" s="179" t="s">
        <v>465</v>
      </c>
      <c r="D47" s="644"/>
      <c r="E47" s="94" t="s">
        <v>540</v>
      </c>
      <c r="F47" s="59"/>
      <c r="G47" s="73"/>
      <c r="H47" s="73"/>
    </row>
    <row r="48" spans="2:12" x14ac:dyDescent="0.25">
      <c r="B48" s="86"/>
      <c r="C48" s="179" t="s">
        <v>457</v>
      </c>
      <c r="D48" s="644"/>
      <c r="E48" s="94" t="s">
        <v>540</v>
      </c>
      <c r="F48" s="59"/>
      <c r="G48" s="73"/>
      <c r="H48" s="73"/>
    </row>
    <row r="49" spans="2:8" x14ac:dyDescent="0.25">
      <c r="B49" s="86"/>
      <c r="C49" s="179" t="s">
        <v>133</v>
      </c>
      <c r="D49" s="644"/>
      <c r="E49" s="94" t="s">
        <v>540</v>
      </c>
      <c r="F49" s="27"/>
      <c r="G49" s="73"/>
      <c r="H49" s="73"/>
    </row>
    <row r="50" spans="2:8" x14ac:dyDescent="0.25">
      <c r="B50" s="86"/>
      <c r="C50" s="179" t="s">
        <v>458</v>
      </c>
      <c r="D50" s="644"/>
      <c r="E50" s="94" t="s">
        <v>540</v>
      </c>
      <c r="F50" s="27"/>
      <c r="G50" s="73"/>
      <c r="H50" s="73"/>
    </row>
    <row r="51" spans="2:8" x14ac:dyDescent="0.25">
      <c r="B51" s="86"/>
      <c r="C51" s="179" t="s">
        <v>459</v>
      </c>
      <c r="D51" s="644"/>
      <c r="E51" s="94" t="s">
        <v>540</v>
      </c>
      <c r="F51" s="27"/>
      <c r="G51" s="73"/>
      <c r="H51" s="73"/>
    </row>
    <row r="52" spans="2:8" x14ac:dyDescent="0.25">
      <c r="B52" s="86"/>
      <c r="C52" s="179" t="s">
        <v>460</v>
      </c>
      <c r="D52" s="644"/>
      <c r="E52" s="94" t="s">
        <v>541</v>
      </c>
      <c r="F52" s="27"/>
      <c r="G52" s="73"/>
      <c r="H52" s="73"/>
    </row>
    <row r="53" spans="2:8" x14ac:dyDescent="0.25">
      <c r="B53" s="86"/>
      <c r="C53" s="179" t="s">
        <v>461</v>
      </c>
      <c r="D53" s="644"/>
      <c r="E53" s="94" t="s">
        <v>541</v>
      </c>
      <c r="F53" s="27"/>
      <c r="G53" s="73"/>
      <c r="H53" s="73"/>
    </row>
    <row r="54" spans="2:8" x14ac:dyDescent="0.25">
      <c r="B54" s="86"/>
      <c r="C54" s="179" t="s">
        <v>462</v>
      </c>
      <c r="D54" s="644"/>
      <c r="E54" s="94" t="s">
        <v>542</v>
      </c>
      <c r="F54" s="27"/>
      <c r="G54" s="73"/>
      <c r="H54" s="73"/>
    </row>
    <row r="55" spans="2:8" x14ac:dyDescent="0.25">
      <c r="B55" s="93" t="s">
        <v>30</v>
      </c>
      <c r="C55" s="629" t="s">
        <v>167</v>
      </c>
      <c r="D55" s="644"/>
      <c r="E55" s="94" t="s">
        <v>540</v>
      </c>
      <c r="F55" s="27"/>
      <c r="G55" s="73"/>
      <c r="H55" s="73"/>
    </row>
    <row r="56" spans="2:8" x14ac:dyDescent="0.25">
      <c r="B56" s="93" t="s">
        <v>30</v>
      </c>
      <c r="C56" s="629" t="s">
        <v>167</v>
      </c>
      <c r="D56" s="644"/>
      <c r="E56" s="94" t="s">
        <v>541</v>
      </c>
      <c r="F56" s="27"/>
      <c r="G56" s="73"/>
      <c r="H56" s="73"/>
    </row>
    <row r="57" spans="2:8" x14ac:dyDescent="0.25">
      <c r="B57" s="93" t="s">
        <v>30</v>
      </c>
      <c r="C57" s="637" t="s">
        <v>167</v>
      </c>
      <c r="D57" s="644"/>
      <c r="E57" s="94" t="s">
        <v>542</v>
      </c>
      <c r="F57" s="27"/>
      <c r="G57" s="73"/>
      <c r="H57" s="73"/>
    </row>
    <row r="58" spans="2:8" ht="6" customHeight="1" x14ac:dyDescent="0.25">
      <c r="B58" s="93"/>
      <c r="C58" s="93"/>
      <c r="D58" s="93"/>
      <c r="E58" s="93"/>
      <c r="F58" s="93"/>
      <c r="G58" s="93"/>
      <c r="H58" s="93"/>
    </row>
    <row r="59" spans="2:8" ht="15.75" x14ac:dyDescent="0.25">
      <c r="B59" s="723" t="s">
        <v>251</v>
      </c>
      <c r="C59" s="723"/>
      <c r="D59" s="723"/>
      <c r="E59" s="723"/>
      <c r="F59" s="723"/>
      <c r="G59" s="723"/>
      <c r="H59" s="723"/>
    </row>
    <row r="60" spans="2:8" x14ac:dyDescent="0.25">
      <c r="B60" s="93" t="s">
        <v>30</v>
      </c>
      <c r="C60" s="629" t="s">
        <v>167</v>
      </c>
      <c r="D60" s="644"/>
      <c r="E60" s="94" t="s">
        <v>446</v>
      </c>
      <c r="F60" s="117" t="s">
        <v>205</v>
      </c>
      <c r="G60" s="644"/>
      <c r="H60" s="118" t="s">
        <v>365</v>
      </c>
    </row>
    <row r="61" spans="2:8" x14ac:dyDescent="0.25">
      <c r="B61" s="93" t="s">
        <v>30</v>
      </c>
      <c r="C61" s="629" t="s">
        <v>167</v>
      </c>
      <c r="D61" s="644"/>
      <c r="E61" s="94" t="s">
        <v>446</v>
      </c>
      <c r="F61" s="117" t="s">
        <v>205</v>
      </c>
      <c r="G61" s="644"/>
      <c r="H61" s="118" t="s">
        <v>365</v>
      </c>
    </row>
    <row r="62" spans="2:8" x14ac:dyDescent="0.25">
      <c r="B62" s="93" t="s">
        <v>30</v>
      </c>
      <c r="C62" s="629" t="s">
        <v>167</v>
      </c>
      <c r="D62" s="644"/>
      <c r="E62" s="94" t="s">
        <v>446</v>
      </c>
      <c r="F62" s="117" t="s">
        <v>205</v>
      </c>
      <c r="G62" s="644"/>
      <c r="H62" s="118" t="s">
        <v>365</v>
      </c>
    </row>
    <row r="63" spans="2:8" x14ac:dyDescent="0.25">
      <c r="B63" s="93" t="s">
        <v>30</v>
      </c>
      <c r="C63" s="629" t="s">
        <v>167</v>
      </c>
      <c r="D63" s="644"/>
      <c r="E63" s="94" t="s">
        <v>446</v>
      </c>
      <c r="F63" s="117" t="s">
        <v>205</v>
      </c>
      <c r="G63" s="644"/>
      <c r="H63" s="118" t="s">
        <v>365</v>
      </c>
    </row>
    <row r="64" spans="2:8" x14ac:dyDescent="0.25">
      <c r="B64" s="93" t="s">
        <v>30</v>
      </c>
      <c r="C64" s="629" t="s">
        <v>167</v>
      </c>
      <c r="D64" s="644"/>
      <c r="E64" s="94" t="s">
        <v>446</v>
      </c>
      <c r="F64" s="117" t="s">
        <v>205</v>
      </c>
      <c r="G64" s="644"/>
      <c r="H64" s="118" t="s">
        <v>365</v>
      </c>
    </row>
    <row r="65" spans="2:8" ht="6" customHeight="1" x14ac:dyDescent="0.25">
      <c r="B65" s="93"/>
      <c r="C65" s="93"/>
      <c r="D65" s="93"/>
      <c r="E65" s="93"/>
      <c r="F65" s="93"/>
      <c r="G65" s="93"/>
      <c r="H65" s="93"/>
    </row>
    <row r="66" spans="2:8" ht="15.75" x14ac:dyDescent="0.25">
      <c r="B66" s="723" t="s">
        <v>884</v>
      </c>
      <c r="C66" s="723"/>
      <c r="D66" s="723"/>
      <c r="E66" s="723"/>
      <c r="F66" s="723"/>
      <c r="G66" s="723"/>
      <c r="H66" s="723"/>
    </row>
    <row r="67" spans="2:8" x14ac:dyDescent="0.25">
      <c r="B67" s="25"/>
      <c r="C67" s="93" t="s">
        <v>366</v>
      </c>
      <c r="D67" s="644"/>
      <c r="E67" s="94" t="s">
        <v>447</v>
      </c>
      <c r="F67" s="27"/>
      <c r="G67" s="27"/>
      <c r="H67" s="73"/>
    </row>
    <row r="68" spans="2:8" x14ac:dyDescent="0.25">
      <c r="B68" s="25"/>
      <c r="C68" s="93" t="s">
        <v>367</v>
      </c>
      <c r="D68" s="644"/>
      <c r="E68" s="94" t="s">
        <v>447</v>
      </c>
      <c r="F68" s="27"/>
      <c r="G68" s="27"/>
      <c r="H68" s="73"/>
    </row>
    <row r="69" spans="2:8" x14ac:dyDescent="0.25">
      <c r="B69" s="25"/>
      <c r="C69" s="93" t="s">
        <v>368</v>
      </c>
      <c r="D69" s="644"/>
      <c r="E69" s="94" t="s">
        <v>447</v>
      </c>
      <c r="F69" s="311" t="s">
        <v>379</v>
      </c>
      <c r="G69" s="670"/>
      <c r="H69" s="94"/>
    </row>
    <row r="70" spans="2:8" x14ac:dyDescent="0.25">
      <c r="B70" s="25"/>
      <c r="C70" s="93" t="s">
        <v>369</v>
      </c>
      <c r="D70" s="644"/>
      <c r="E70" s="94" t="s">
        <v>447</v>
      </c>
      <c r="F70" s="27"/>
      <c r="G70" s="27"/>
      <c r="H70" s="73"/>
    </row>
    <row r="71" spans="2:8" x14ac:dyDescent="0.25">
      <c r="B71" s="25"/>
      <c r="C71" s="93" t="s">
        <v>370</v>
      </c>
      <c r="D71" s="644"/>
      <c r="E71" s="94" t="s">
        <v>447</v>
      </c>
      <c r="F71" s="27"/>
      <c r="G71" s="27"/>
      <c r="H71" s="73"/>
    </row>
    <row r="72" spans="2:8" x14ac:dyDescent="0.25">
      <c r="B72" s="25"/>
      <c r="C72" s="93" t="s">
        <v>371</v>
      </c>
      <c r="D72" s="644"/>
      <c r="E72" s="94" t="s">
        <v>447</v>
      </c>
      <c r="F72" s="27"/>
      <c r="G72" s="27"/>
      <c r="H72" s="73"/>
    </row>
    <row r="73" spans="2:8" x14ac:dyDescent="0.25">
      <c r="B73" s="25"/>
      <c r="C73" s="93" t="s">
        <v>467</v>
      </c>
      <c r="D73" s="644"/>
      <c r="E73" s="94" t="s">
        <v>447</v>
      </c>
      <c r="F73" s="27"/>
      <c r="G73" s="27"/>
      <c r="H73" s="73"/>
    </row>
    <row r="74" spans="2:8" x14ac:dyDescent="0.25">
      <c r="B74" s="25"/>
      <c r="C74" s="93" t="s">
        <v>46</v>
      </c>
      <c r="D74" s="644"/>
      <c r="E74" s="94" t="s">
        <v>447</v>
      </c>
      <c r="F74" s="27"/>
      <c r="G74" s="27"/>
      <c r="H74" s="73"/>
    </row>
    <row r="75" spans="2:8" x14ac:dyDescent="0.25">
      <c r="B75" s="25"/>
      <c r="C75" s="93" t="s">
        <v>468</v>
      </c>
      <c r="D75" s="644"/>
      <c r="E75" s="94" t="s">
        <v>448</v>
      </c>
      <c r="F75" s="27"/>
      <c r="G75" s="39"/>
      <c r="H75" s="73"/>
    </row>
    <row r="76" spans="2:8" x14ac:dyDescent="0.25">
      <c r="B76" s="25"/>
      <c r="C76" s="93" t="s">
        <v>469</v>
      </c>
      <c r="D76" s="644"/>
      <c r="E76" s="94" t="s">
        <v>448</v>
      </c>
      <c r="F76" s="27"/>
      <c r="G76" s="39"/>
      <c r="H76" s="73"/>
    </row>
    <row r="77" spans="2:8" x14ac:dyDescent="0.25">
      <c r="B77" s="25"/>
      <c r="C77" s="93" t="s">
        <v>376</v>
      </c>
      <c r="D77" s="644"/>
      <c r="E77" s="94" t="s">
        <v>449</v>
      </c>
      <c r="F77" s="27"/>
      <c r="G77" s="39"/>
      <c r="H77" s="73"/>
    </row>
    <row r="78" spans="2:8" x14ac:dyDescent="0.25">
      <c r="B78" s="25"/>
      <c r="C78" s="93" t="s">
        <v>375</v>
      </c>
      <c r="D78" s="644"/>
      <c r="E78" s="94" t="s">
        <v>449</v>
      </c>
      <c r="F78" s="27"/>
      <c r="G78" s="39"/>
      <c r="H78" s="73"/>
    </row>
    <row r="79" spans="2:8" x14ac:dyDescent="0.25">
      <c r="B79" s="25"/>
      <c r="C79" s="93" t="s">
        <v>372</v>
      </c>
      <c r="D79" s="644"/>
      <c r="E79" s="94" t="s">
        <v>449</v>
      </c>
      <c r="F79" s="27"/>
      <c r="G79" s="39"/>
      <c r="H79" s="73"/>
    </row>
    <row r="80" spans="2:8" x14ac:dyDescent="0.25">
      <c r="B80" s="25"/>
      <c r="C80" s="93" t="s">
        <v>373</v>
      </c>
      <c r="D80" s="644"/>
      <c r="E80" s="94" t="s">
        <v>449</v>
      </c>
      <c r="F80" s="27"/>
      <c r="G80" s="39"/>
      <c r="H80" s="73"/>
    </row>
    <row r="81" spans="2:8" x14ac:dyDescent="0.25">
      <c r="B81" s="25"/>
      <c r="C81" s="93" t="s">
        <v>374</v>
      </c>
      <c r="D81" s="644"/>
      <c r="E81" s="94" t="s">
        <v>449</v>
      </c>
      <c r="F81" s="27"/>
      <c r="G81" s="39"/>
      <c r="H81" s="73"/>
    </row>
    <row r="82" spans="2:8" ht="7.5" customHeight="1" x14ac:dyDescent="0.25">
      <c r="B82" s="25"/>
      <c r="C82" s="73"/>
      <c r="D82" s="25"/>
      <c r="E82" s="73"/>
      <c r="F82" s="27"/>
      <c r="G82" s="39"/>
      <c r="H82" s="73"/>
    </row>
    <row r="83" spans="2:8" x14ac:dyDescent="0.25">
      <c r="D83" s="85"/>
    </row>
    <row r="84" spans="2:8" ht="18.75" x14ac:dyDescent="0.25">
      <c r="B84" s="732" t="s">
        <v>451</v>
      </c>
      <c r="C84" s="732"/>
      <c r="D84" s="732"/>
      <c r="E84" s="732"/>
      <c r="F84" s="732"/>
      <c r="G84" s="732"/>
      <c r="H84" s="732"/>
    </row>
    <row r="85" spans="2:8" ht="15.75" x14ac:dyDescent="0.25">
      <c r="B85" s="731" t="s">
        <v>383</v>
      </c>
      <c r="C85" s="731"/>
      <c r="D85" s="731"/>
      <c r="E85" s="731"/>
      <c r="F85" s="731"/>
      <c r="G85" s="731"/>
      <c r="H85" s="731"/>
    </row>
    <row r="86" spans="2:8" x14ac:dyDescent="0.25">
      <c r="B86" s="25"/>
      <c r="C86" s="93" t="s">
        <v>545</v>
      </c>
      <c r="D86" s="644"/>
      <c r="E86" s="94" t="s">
        <v>445</v>
      </c>
      <c r="F86" s="311" t="s">
        <v>134</v>
      </c>
      <c r="G86" s="670"/>
      <c r="H86" s="309"/>
    </row>
    <row r="87" spans="2:8" x14ac:dyDescent="0.25">
      <c r="B87" s="25"/>
      <c r="C87" s="93" t="s">
        <v>546</v>
      </c>
      <c r="D87" s="644"/>
      <c r="E87" s="94" t="s">
        <v>258</v>
      </c>
      <c r="F87" s="27"/>
      <c r="G87" s="27"/>
      <c r="H87" s="309"/>
    </row>
    <row r="88" spans="2:8" x14ac:dyDescent="0.25">
      <c r="B88" s="25"/>
      <c r="C88" s="93" t="s">
        <v>543</v>
      </c>
      <c r="D88" s="644"/>
      <c r="E88" s="94" t="s">
        <v>446</v>
      </c>
      <c r="F88" s="27"/>
      <c r="G88" s="27"/>
      <c r="H88" s="309"/>
    </row>
    <row r="89" spans="2:8" x14ac:dyDescent="0.25">
      <c r="B89" s="25"/>
      <c r="C89" s="93" t="s">
        <v>544</v>
      </c>
      <c r="D89" s="644"/>
      <c r="E89" s="94" t="s">
        <v>446</v>
      </c>
      <c r="F89" s="27"/>
      <c r="G89" s="27"/>
      <c r="H89" s="309"/>
    </row>
    <row r="90" spans="2:8" ht="6" customHeight="1" x14ac:dyDescent="0.25">
      <c r="B90" s="25"/>
      <c r="C90" s="73"/>
      <c r="D90" s="25"/>
      <c r="E90" s="73"/>
      <c r="F90" s="27"/>
      <c r="G90" s="39"/>
      <c r="H90" s="73"/>
    </row>
    <row r="91" spans="2:8" ht="15.75" x14ac:dyDescent="0.25">
      <c r="B91" s="731" t="s">
        <v>243</v>
      </c>
      <c r="C91" s="731"/>
      <c r="D91" s="731"/>
      <c r="E91" s="731"/>
      <c r="F91" s="731"/>
      <c r="G91" s="731"/>
      <c r="H91" s="731"/>
    </row>
    <row r="92" spans="2:8" x14ac:dyDescent="0.25">
      <c r="B92" s="54"/>
      <c r="C92" s="93" t="s">
        <v>376</v>
      </c>
      <c r="D92" s="644"/>
      <c r="E92" s="94" t="s">
        <v>449</v>
      </c>
      <c r="F92" s="26"/>
      <c r="G92" s="26"/>
      <c r="H92" s="309"/>
    </row>
    <row r="93" spans="2:8" x14ac:dyDescent="0.25">
      <c r="B93" s="54"/>
      <c r="C93" s="93" t="s">
        <v>375</v>
      </c>
      <c r="D93" s="644"/>
      <c r="E93" s="94" t="s">
        <v>449</v>
      </c>
      <c r="F93" s="26"/>
      <c r="G93" s="26"/>
      <c r="H93" s="309"/>
    </row>
    <row r="94" spans="2:8" x14ac:dyDescent="0.25">
      <c r="B94" s="54"/>
      <c r="C94" s="93" t="s">
        <v>372</v>
      </c>
      <c r="D94" s="644"/>
      <c r="E94" s="94" t="s">
        <v>449</v>
      </c>
      <c r="F94" s="26"/>
      <c r="G94" s="26"/>
      <c r="H94" s="309"/>
    </row>
    <row r="95" spans="2:8" x14ac:dyDescent="0.25">
      <c r="B95" s="54"/>
      <c r="C95" s="93" t="s">
        <v>373</v>
      </c>
      <c r="D95" s="644"/>
      <c r="E95" s="94" t="s">
        <v>449</v>
      </c>
      <c r="F95" s="26"/>
      <c r="G95" s="26"/>
      <c r="H95" s="309"/>
    </row>
    <row r="96" spans="2:8" x14ac:dyDescent="0.25">
      <c r="B96" s="54"/>
      <c r="C96" s="93" t="s">
        <v>374</v>
      </c>
      <c r="D96" s="644"/>
      <c r="E96" s="94" t="s">
        <v>449</v>
      </c>
      <c r="F96" s="26"/>
      <c r="G96" s="26"/>
      <c r="H96" s="309"/>
    </row>
    <row r="97" spans="2:10" x14ac:dyDescent="0.25">
      <c r="B97" s="54"/>
      <c r="C97" s="93" t="s">
        <v>366</v>
      </c>
      <c r="D97" s="644"/>
      <c r="E97" s="94" t="s">
        <v>447</v>
      </c>
      <c r="F97" s="27"/>
      <c r="G97" s="27"/>
      <c r="H97" s="73"/>
    </row>
    <row r="98" spans="2:10" x14ac:dyDescent="0.25">
      <c r="B98" s="54"/>
      <c r="C98" s="93" t="s">
        <v>367</v>
      </c>
      <c r="D98" s="644"/>
      <c r="E98" s="94" t="s">
        <v>447</v>
      </c>
      <c r="F98" s="27"/>
      <c r="G98" s="27"/>
      <c r="H98" s="73"/>
    </row>
    <row r="99" spans="2:10" x14ac:dyDescent="0.25">
      <c r="B99" s="54"/>
      <c r="C99" s="93" t="s">
        <v>368</v>
      </c>
      <c r="D99" s="644"/>
      <c r="E99" s="94" t="s">
        <v>447</v>
      </c>
      <c r="F99" s="311" t="s">
        <v>379</v>
      </c>
      <c r="G99" s="670"/>
      <c r="H99" s="94"/>
    </row>
    <row r="100" spans="2:10" x14ac:dyDescent="0.25">
      <c r="B100" s="54"/>
      <c r="C100" s="93" t="s">
        <v>369</v>
      </c>
      <c r="D100" s="644"/>
      <c r="E100" s="94" t="s">
        <v>447</v>
      </c>
      <c r="F100" s="27"/>
      <c r="G100" s="27"/>
      <c r="H100" s="73"/>
    </row>
    <row r="101" spans="2:10" x14ac:dyDescent="0.25">
      <c r="B101" s="54"/>
      <c r="C101" s="93" t="s">
        <v>370</v>
      </c>
      <c r="D101" s="644"/>
      <c r="E101" s="94" t="s">
        <v>447</v>
      </c>
      <c r="F101" s="27"/>
      <c r="G101" s="27"/>
      <c r="H101" s="73"/>
    </row>
    <row r="102" spans="2:10" x14ac:dyDescent="0.25">
      <c r="B102" s="54"/>
      <c r="C102" s="93" t="s">
        <v>371</v>
      </c>
      <c r="D102" s="644"/>
      <c r="E102" s="94" t="s">
        <v>447</v>
      </c>
      <c r="F102" s="27"/>
      <c r="G102" s="27"/>
      <c r="H102" s="73"/>
    </row>
    <row r="103" spans="2:10" x14ac:dyDescent="0.25">
      <c r="B103" s="54"/>
      <c r="C103" s="93" t="s">
        <v>845</v>
      </c>
      <c r="D103" s="644"/>
      <c r="E103" s="94" t="s">
        <v>885</v>
      </c>
      <c r="F103" s="27"/>
      <c r="G103" s="27"/>
      <c r="H103" s="73"/>
    </row>
    <row r="104" spans="2:10" x14ac:dyDescent="0.25">
      <c r="B104" s="54"/>
      <c r="C104" s="93" t="s">
        <v>923</v>
      </c>
      <c r="D104" s="644"/>
      <c r="E104" s="94" t="s">
        <v>448</v>
      </c>
      <c r="F104" s="141" t="s">
        <v>924</v>
      </c>
      <c r="G104" s="646"/>
      <c r="H104" s="410" t="s">
        <v>709</v>
      </c>
    </row>
    <row r="105" spans="2:10" x14ac:dyDescent="0.25">
      <c r="B105" s="54"/>
      <c r="C105" s="93" t="s">
        <v>922</v>
      </c>
      <c r="D105" s="644"/>
      <c r="E105" s="94" t="s">
        <v>448</v>
      </c>
      <c r="F105" s="141" t="s">
        <v>924</v>
      </c>
      <c r="G105" s="646"/>
      <c r="H105" s="410" t="s">
        <v>709</v>
      </c>
    </row>
    <row r="106" spans="2:10" x14ac:dyDescent="0.25">
      <c r="B106" s="54"/>
      <c r="C106" s="93" t="s">
        <v>572</v>
      </c>
      <c r="D106" s="644"/>
      <c r="E106" s="94" t="s">
        <v>448</v>
      </c>
      <c r="F106" s="26"/>
      <c r="G106" s="26"/>
      <c r="H106" s="26"/>
    </row>
    <row r="107" spans="2:10" x14ac:dyDescent="0.25">
      <c r="B107" s="54"/>
      <c r="C107" s="730" t="s">
        <v>106</v>
      </c>
      <c r="D107" s="730"/>
      <c r="E107" s="730"/>
      <c r="F107" s="26"/>
      <c r="G107" s="26"/>
      <c r="H107" s="26"/>
      <c r="J107" s="571"/>
    </row>
    <row r="108" spans="2:10" x14ac:dyDescent="0.25">
      <c r="B108" s="54"/>
      <c r="C108" s="91" t="s">
        <v>392</v>
      </c>
      <c r="D108" s="644"/>
      <c r="E108" s="94" t="s">
        <v>446</v>
      </c>
      <c r="F108" s="26"/>
      <c r="G108" s="26"/>
      <c r="H108" s="26"/>
      <c r="J108" s="571"/>
    </row>
    <row r="109" spans="2:10" x14ac:dyDescent="0.25">
      <c r="B109" s="54"/>
      <c r="C109" s="91" t="s">
        <v>134</v>
      </c>
      <c r="D109" s="670"/>
      <c r="E109" s="94"/>
      <c r="F109" s="26"/>
      <c r="G109" s="26"/>
      <c r="H109" s="26"/>
      <c r="J109" s="571"/>
    </row>
    <row r="110" spans="2:10" x14ac:dyDescent="0.25">
      <c r="B110" s="54"/>
      <c r="C110" s="91" t="s">
        <v>257</v>
      </c>
      <c r="D110" s="644"/>
      <c r="E110" s="94" t="s">
        <v>258</v>
      </c>
      <c r="F110" s="26"/>
      <c r="G110" s="26"/>
      <c r="H110" s="26"/>
      <c r="J110" s="571"/>
    </row>
    <row r="111" spans="2:10" x14ac:dyDescent="0.25">
      <c r="B111" s="54"/>
      <c r="C111" s="730" t="s">
        <v>346</v>
      </c>
      <c r="D111" s="730"/>
      <c r="E111" s="730"/>
      <c r="F111" s="26"/>
      <c r="G111" s="26"/>
      <c r="H111" s="26"/>
      <c r="J111" s="689"/>
    </row>
    <row r="112" spans="2:10" x14ac:dyDescent="0.25">
      <c r="B112" s="54"/>
      <c r="C112" s="91" t="s">
        <v>392</v>
      </c>
      <c r="D112" s="644"/>
      <c r="E112" s="94" t="s">
        <v>446</v>
      </c>
      <c r="F112" s="26"/>
      <c r="G112" s="26"/>
      <c r="H112" s="26"/>
      <c r="J112" s="571"/>
    </row>
    <row r="113" spans="2:10" x14ac:dyDescent="0.25">
      <c r="B113" s="54"/>
      <c r="C113" s="91" t="s">
        <v>134</v>
      </c>
      <c r="D113" s="670"/>
      <c r="E113" s="94"/>
      <c r="F113" s="26"/>
      <c r="G113" s="26"/>
      <c r="H113" s="26"/>
      <c r="J113" s="571"/>
    </row>
    <row r="114" spans="2:10" x14ac:dyDescent="0.25">
      <c r="B114" s="54"/>
      <c r="C114" s="91" t="s">
        <v>257</v>
      </c>
      <c r="D114" s="644"/>
      <c r="E114" s="94" t="s">
        <v>258</v>
      </c>
      <c r="F114" s="26"/>
      <c r="G114" s="26"/>
      <c r="H114" s="26"/>
      <c r="J114" s="571"/>
    </row>
    <row r="115" spans="2:10" x14ac:dyDescent="0.25">
      <c r="B115" s="54"/>
      <c r="C115" s="730" t="s">
        <v>466</v>
      </c>
      <c r="D115" s="730"/>
      <c r="E115" s="730"/>
      <c r="F115" s="26"/>
      <c r="G115" s="26"/>
      <c r="H115" s="26"/>
      <c r="J115" s="571"/>
    </row>
    <row r="116" spans="2:10" x14ac:dyDescent="0.25">
      <c r="B116" s="54"/>
      <c r="C116" s="91" t="s">
        <v>392</v>
      </c>
      <c r="D116" s="644"/>
      <c r="E116" s="94" t="s">
        <v>446</v>
      </c>
      <c r="F116" s="26"/>
      <c r="G116" s="26"/>
      <c r="H116" s="26"/>
    </row>
    <row r="117" spans="2:10" x14ac:dyDescent="0.25">
      <c r="B117" s="54"/>
      <c r="C117" s="91" t="s">
        <v>134</v>
      </c>
      <c r="D117" s="670"/>
      <c r="E117" s="94"/>
      <c r="F117" s="26"/>
      <c r="G117" s="26"/>
      <c r="H117" s="26"/>
    </row>
    <row r="118" spans="2:10" x14ac:dyDescent="0.25">
      <c r="B118" s="54"/>
      <c r="C118" s="91" t="s">
        <v>257</v>
      </c>
      <c r="D118" s="644"/>
      <c r="E118" s="94" t="s">
        <v>258</v>
      </c>
      <c r="F118" s="26"/>
      <c r="G118" s="26"/>
      <c r="H118" s="26"/>
    </row>
    <row r="119" spans="2:10" x14ac:dyDescent="0.25">
      <c r="B119" s="54"/>
      <c r="C119" s="730" t="s">
        <v>259</v>
      </c>
      <c r="D119" s="730"/>
      <c r="E119" s="730"/>
      <c r="F119" s="26"/>
      <c r="G119" s="26"/>
      <c r="H119" s="26"/>
    </row>
    <row r="120" spans="2:10" x14ac:dyDescent="0.25">
      <c r="B120" s="54"/>
      <c r="C120" s="91" t="s">
        <v>392</v>
      </c>
      <c r="D120" s="644"/>
      <c r="E120" s="94" t="s">
        <v>446</v>
      </c>
      <c r="F120" s="26"/>
      <c r="G120" s="26"/>
      <c r="H120" s="26"/>
    </row>
    <row r="121" spans="2:10" x14ac:dyDescent="0.25">
      <c r="B121" s="54"/>
      <c r="C121" s="91" t="s">
        <v>134</v>
      </c>
      <c r="D121" s="670"/>
      <c r="E121" s="94"/>
      <c r="F121" s="26"/>
      <c r="G121" s="26"/>
      <c r="H121" s="26"/>
    </row>
    <row r="122" spans="2:10" x14ac:dyDescent="0.25">
      <c r="B122" s="54"/>
      <c r="C122" s="91" t="s">
        <v>257</v>
      </c>
      <c r="D122" s="644"/>
      <c r="E122" s="94" t="s">
        <v>258</v>
      </c>
      <c r="F122" s="26"/>
      <c r="G122" s="26"/>
      <c r="H122" s="26"/>
    </row>
    <row r="123" spans="2:10" x14ac:dyDescent="0.25">
      <c r="B123" s="54"/>
      <c r="C123" s="730" t="s">
        <v>573</v>
      </c>
      <c r="D123" s="730"/>
      <c r="E123" s="730"/>
      <c r="F123" s="26"/>
      <c r="G123" s="26"/>
      <c r="H123" s="26"/>
    </row>
    <row r="124" spans="2:10" x14ac:dyDescent="0.25">
      <c r="B124" s="54"/>
      <c r="C124" s="91" t="s">
        <v>392</v>
      </c>
      <c r="D124" s="644"/>
      <c r="E124" s="94" t="s">
        <v>446</v>
      </c>
      <c r="F124" s="26"/>
      <c r="G124" s="26"/>
      <c r="H124" s="26"/>
    </row>
    <row r="125" spans="2:10" x14ac:dyDescent="0.25">
      <c r="B125" s="54"/>
      <c r="C125" s="91" t="s">
        <v>134</v>
      </c>
      <c r="D125" s="670"/>
      <c r="E125" s="94"/>
      <c r="F125" s="26"/>
      <c r="G125" s="26"/>
      <c r="H125" s="26"/>
    </row>
    <row r="126" spans="2:10" x14ac:dyDescent="0.25">
      <c r="B126" s="54"/>
      <c r="C126" s="91" t="s">
        <v>257</v>
      </c>
      <c r="D126" s="644"/>
      <c r="E126" s="94" t="s">
        <v>258</v>
      </c>
      <c r="F126" s="26"/>
      <c r="G126" s="26"/>
      <c r="H126" s="26"/>
    </row>
    <row r="127" spans="2:10" ht="6" customHeight="1" x14ac:dyDescent="0.25">
      <c r="B127" s="54"/>
      <c r="C127" s="54"/>
      <c r="D127" s="54"/>
      <c r="E127" s="54"/>
      <c r="F127" s="54"/>
      <c r="G127" s="54"/>
      <c r="H127" s="54"/>
    </row>
    <row r="128" spans="2:10" x14ac:dyDescent="0.25">
      <c r="B128" s="61"/>
      <c r="C128" s="32"/>
      <c r="D128" s="32"/>
      <c r="E128" s="35"/>
      <c r="F128" s="38"/>
      <c r="G128" s="31"/>
      <c r="H128" s="78"/>
    </row>
    <row r="129" spans="2:10" ht="18.75" x14ac:dyDescent="0.25">
      <c r="B129" s="732" t="s">
        <v>585</v>
      </c>
      <c r="C129" s="732"/>
      <c r="D129" s="732"/>
      <c r="E129" s="732"/>
      <c r="F129" s="732"/>
      <c r="G129" s="732"/>
      <c r="H129" s="732"/>
    </row>
    <row r="130" spans="2:10" ht="15.75" x14ac:dyDescent="0.25">
      <c r="B130" s="731" t="s">
        <v>383</v>
      </c>
      <c r="C130" s="731"/>
      <c r="D130" s="731"/>
      <c r="E130" s="731"/>
      <c r="F130" s="731"/>
      <c r="G130" s="731"/>
      <c r="H130" s="731"/>
    </row>
    <row r="131" spans="2:10" x14ac:dyDescent="0.25">
      <c r="B131" s="54"/>
      <c r="C131" s="406"/>
      <c r="D131" s="545" t="s">
        <v>912</v>
      </c>
      <c r="E131" s="406"/>
      <c r="F131" s="26"/>
      <c r="G131" s="26"/>
      <c r="H131" s="26"/>
    </row>
    <row r="132" spans="2:10" x14ac:dyDescent="0.25">
      <c r="B132" s="93"/>
      <c r="C132" s="93" t="s">
        <v>641</v>
      </c>
      <c r="D132" s="644"/>
      <c r="E132" s="94" t="s">
        <v>948</v>
      </c>
      <c r="F132" s="27"/>
      <c r="G132" s="27"/>
      <c r="H132" s="73"/>
    </row>
    <row r="133" spans="2:10" x14ac:dyDescent="0.25">
      <c r="B133" s="93"/>
      <c r="C133" s="93" t="s">
        <v>587</v>
      </c>
      <c r="D133" s="644"/>
      <c r="E133" s="94" t="s">
        <v>258</v>
      </c>
      <c r="F133" s="39"/>
      <c r="G133" s="27"/>
      <c r="H133" s="73"/>
    </row>
    <row r="134" spans="2:10" x14ac:dyDescent="0.25">
      <c r="B134" s="93"/>
      <c r="C134" s="93" t="s">
        <v>989</v>
      </c>
      <c r="D134" s="661"/>
      <c r="E134" s="94"/>
      <c r="F134" s="39"/>
      <c r="G134" s="27"/>
      <c r="H134" s="73"/>
    </row>
    <row r="135" spans="2:10" x14ac:dyDescent="0.25">
      <c r="B135" s="54"/>
      <c r="C135" s="406"/>
      <c r="D135" s="572" t="s">
        <v>939</v>
      </c>
      <c r="E135" s="406"/>
      <c r="F135" s="26"/>
      <c r="G135" s="26"/>
      <c r="H135" s="26"/>
    </row>
    <row r="136" spans="2:10" ht="15" customHeight="1" x14ac:dyDescent="0.25">
      <c r="B136" s="93"/>
      <c r="C136" s="93" t="s">
        <v>641</v>
      </c>
      <c r="D136" s="644"/>
      <c r="E136" s="94" t="s">
        <v>948</v>
      </c>
      <c r="F136" s="746" t="s">
        <v>915</v>
      </c>
      <c r="G136" s="747"/>
      <c r="H136" s="749" t="s">
        <v>914</v>
      </c>
    </row>
    <row r="137" spans="2:10" x14ac:dyDescent="0.25">
      <c r="B137" s="93"/>
      <c r="C137" s="93" t="s">
        <v>947</v>
      </c>
      <c r="D137" s="644"/>
      <c r="E137" s="94" t="s">
        <v>258</v>
      </c>
      <c r="F137" s="746"/>
      <c r="G137" s="748"/>
      <c r="H137" s="749"/>
    </row>
    <row r="138" spans="2:10" x14ac:dyDescent="0.25">
      <c r="B138" s="93"/>
      <c r="C138" s="93" t="s">
        <v>989</v>
      </c>
      <c r="D138" s="661"/>
      <c r="E138" s="94"/>
      <c r="F138" s="613"/>
      <c r="G138" s="613"/>
      <c r="H138" s="613"/>
    </row>
    <row r="139" spans="2:10" x14ac:dyDescent="0.25">
      <c r="B139" s="54"/>
      <c r="C139" s="406"/>
      <c r="D139" s="545" t="s">
        <v>665</v>
      </c>
      <c r="E139" s="406"/>
      <c r="F139" s="26"/>
      <c r="G139" s="26"/>
      <c r="H139" s="26"/>
      <c r="J139" s="627"/>
    </row>
    <row r="140" spans="2:10" x14ac:dyDescent="0.25">
      <c r="B140" s="93"/>
      <c r="C140" s="93" t="s">
        <v>679</v>
      </c>
      <c r="D140" s="644"/>
      <c r="E140" s="94" t="s">
        <v>948</v>
      </c>
      <c r="F140" s="39"/>
      <c r="G140" s="27"/>
      <c r="H140" s="73"/>
    </row>
    <row r="141" spans="2:10" x14ac:dyDescent="0.25">
      <c r="B141" s="93"/>
      <c r="C141" s="93" t="s">
        <v>680</v>
      </c>
      <c r="D141" s="644"/>
      <c r="E141" s="94" t="s">
        <v>258</v>
      </c>
      <c r="F141" s="39"/>
      <c r="G141" s="27"/>
      <c r="H141" s="73"/>
    </row>
    <row r="142" spans="2:10" x14ac:dyDescent="0.25">
      <c r="B142" s="93"/>
      <c r="C142" s="93" t="s">
        <v>989</v>
      </c>
      <c r="D142" s="661"/>
      <c r="E142" s="94"/>
      <c r="F142" s="39"/>
      <c r="G142" s="27"/>
      <c r="H142" s="73"/>
    </row>
    <row r="143" spans="2:10" x14ac:dyDescent="0.25">
      <c r="B143" s="54"/>
      <c r="C143" s="406"/>
      <c r="D143" s="545" t="s">
        <v>664</v>
      </c>
      <c r="E143" s="406"/>
      <c r="F143" s="26"/>
      <c r="G143" s="26"/>
      <c r="H143" s="26"/>
    </row>
    <row r="144" spans="2:10" x14ac:dyDescent="0.25">
      <c r="B144" s="93"/>
      <c r="C144" s="93" t="s">
        <v>681</v>
      </c>
      <c r="D144" s="644"/>
      <c r="E144" s="94" t="s">
        <v>948</v>
      </c>
      <c r="F144" s="39"/>
      <c r="G144" s="27"/>
      <c r="H144" s="73"/>
    </row>
    <row r="145" spans="2:8" x14ac:dyDescent="0.25">
      <c r="B145" s="93"/>
      <c r="C145" s="93" t="s">
        <v>682</v>
      </c>
      <c r="D145" s="644"/>
      <c r="E145" s="94" t="s">
        <v>258</v>
      </c>
      <c r="F145" s="39"/>
      <c r="G145" s="27"/>
      <c r="H145" s="73"/>
    </row>
    <row r="146" spans="2:8" x14ac:dyDescent="0.25">
      <c r="B146" s="93"/>
      <c r="C146" s="93" t="s">
        <v>989</v>
      </c>
      <c r="D146" s="661"/>
      <c r="E146" s="94"/>
      <c r="F146" s="39"/>
      <c r="G146" s="27"/>
      <c r="H146" s="73"/>
    </row>
    <row r="147" spans="2:8" x14ac:dyDescent="0.25">
      <c r="B147" s="54"/>
      <c r="C147" s="406"/>
      <c r="D147" s="545" t="s">
        <v>688</v>
      </c>
      <c r="E147" s="406"/>
      <c r="F147" s="26"/>
      <c r="G147" s="26"/>
      <c r="H147" s="26"/>
    </row>
    <row r="148" spans="2:8" x14ac:dyDescent="0.25">
      <c r="B148" s="93"/>
      <c r="C148" s="93" t="s">
        <v>683</v>
      </c>
      <c r="D148" s="644"/>
      <c r="E148" s="94" t="s">
        <v>948</v>
      </c>
      <c r="F148" s="39"/>
      <c r="G148" s="27"/>
      <c r="H148" s="73"/>
    </row>
    <row r="149" spans="2:8" x14ac:dyDescent="0.25">
      <c r="B149" s="93"/>
      <c r="C149" s="93" t="s">
        <v>684</v>
      </c>
      <c r="D149" s="644"/>
      <c r="E149" s="94" t="s">
        <v>258</v>
      </c>
      <c r="F149" s="39"/>
      <c r="G149" s="27"/>
      <c r="H149" s="73"/>
    </row>
    <row r="150" spans="2:8" x14ac:dyDescent="0.25">
      <c r="B150" s="93"/>
      <c r="C150" s="93" t="s">
        <v>989</v>
      </c>
      <c r="D150" s="661"/>
      <c r="E150" s="94"/>
      <c r="F150" s="39"/>
      <c r="G150" s="27"/>
      <c r="H150" s="73"/>
    </row>
    <row r="151" spans="2:8" x14ac:dyDescent="0.25">
      <c r="B151" s="54"/>
      <c r="C151" s="406"/>
      <c r="D151" s="545" t="s">
        <v>690</v>
      </c>
      <c r="E151" s="406"/>
      <c r="F151" s="26"/>
      <c r="G151" s="26"/>
      <c r="H151" s="26"/>
    </row>
    <row r="152" spans="2:8" x14ac:dyDescent="0.25">
      <c r="B152" s="93"/>
      <c r="C152" s="93" t="s">
        <v>944</v>
      </c>
      <c r="D152" s="644"/>
      <c r="E152" s="94" t="s">
        <v>948</v>
      </c>
      <c r="F152" s="39"/>
      <c r="G152" s="27"/>
      <c r="H152" s="73"/>
    </row>
    <row r="153" spans="2:8" x14ac:dyDescent="0.25">
      <c r="B153" s="93"/>
      <c r="C153" s="93" t="s">
        <v>685</v>
      </c>
      <c r="D153" s="644"/>
      <c r="E153" s="94" t="s">
        <v>258</v>
      </c>
      <c r="F153" s="39"/>
      <c r="G153" s="27"/>
      <c r="H153" s="73"/>
    </row>
    <row r="154" spans="2:8" x14ac:dyDescent="0.25">
      <c r="B154" s="54"/>
      <c r="C154" s="406"/>
      <c r="D154" s="572" t="s">
        <v>699</v>
      </c>
      <c r="E154" s="406"/>
      <c r="F154" s="26"/>
      <c r="G154" s="26"/>
      <c r="H154" s="26"/>
    </row>
    <row r="155" spans="2:8" x14ac:dyDescent="0.25">
      <c r="B155" s="93"/>
      <c r="C155" s="93" t="s">
        <v>945</v>
      </c>
      <c r="D155" s="644"/>
      <c r="E155" s="94" t="s">
        <v>949</v>
      </c>
      <c r="F155" s="39"/>
      <c r="G155" s="27"/>
      <c r="H155" s="73"/>
    </row>
    <row r="156" spans="2:8" x14ac:dyDescent="0.25">
      <c r="B156" s="93"/>
      <c r="C156" s="93" t="s">
        <v>686</v>
      </c>
      <c r="D156" s="644"/>
      <c r="E156" s="94" t="s">
        <v>258</v>
      </c>
      <c r="F156" s="39"/>
      <c r="G156" s="27"/>
      <c r="H156" s="73"/>
    </row>
    <row r="157" spans="2:8" x14ac:dyDescent="0.25">
      <c r="B157" s="54"/>
      <c r="C157" s="406"/>
      <c r="D157" s="545" t="s">
        <v>689</v>
      </c>
      <c r="E157" s="406"/>
      <c r="F157" s="26"/>
      <c r="G157" s="26"/>
      <c r="H157" s="26"/>
    </row>
    <row r="158" spans="2:8" x14ac:dyDescent="0.25">
      <c r="B158" s="93"/>
      <c r="C158" s="93" t="s">
        <v>946</v>
      </c>
      <c r="D158" s="644"/>
      <c r="E158" s="94" t="s">
        <v>948</v>
      </c>
      <c r="F158" s="39"/>
      <c r="G158" s="27"/>
      <c r="H158" s="73"/>
    </row>
    <row r="159" spans="2:8" x14ac:dyDescent="0.25">
      <c r="B159" s="93"/>
      <c r="C159" s="93" t="s">
        <v>687</v>
      </c>
      <c r="D159" s="644"/>
      <c r="E159" s="94" t="s">
        <v>258</v>
      </c>
      <c r="F159" s="39"/>
      <c r="G159" s="27"/>
      <c r="H159" s="73"/>
    </row>
    <row r="160" spans="2:8" ht="6" customHeight="1" x14ac:dyDescent="0.25">
      <c r="B160" s="93"/>
      <c r="C160" s="93"/>
      <c r="D160" s="93"/>
      <c r="E160" s="93"/>
      <c r="F160" s="39"/>
      <c r="G160" s="27"/>
      <c r="H160" s="73"/>
    </row>
    <row r="161" spans="2:8" ht="6" customHeight="1" x14ac:dyDescent="0.25">
      <c r="D161" s="85"/>
    </row>
    <row r="162" spans="2:8" x14ac:dyDescent="0.25">
      <c r="B162" s="93"/>
      <c r="C162" s="93" t="s">
        <v>588</v>
      </c>
      <c r="D162" s="640"/>
      <c r="E162" s="25"/>
      <c r="F162" s="27"/>
      <c r="G162" s="27"/>
      <c r="H162" s="73"/>
    </row>
    <row r="163" spans="2:8" x14ac:dyDescent="0.25">
      <c r="B163" s="25"/>
      <c r="C163" s="93" t="s">
        <v>642</v>
      </c>
      <c r="D163" s="644"/>
      <c r="E163" s="94" t="s">
        <v>702</v>
      </c>
      <c r="F163" s="27"/>
      <c r="G163" s="27"/>
      <c r="H163" s="73"/>
    </row>
    <row r="164" spans="2:8" x14ac:dyDescent="0.25">
      <c r="B164" s="25"/>
      <c r="C164" s="93" t="s">
        <v>643</v>
      </c>
      <c r="D164" s="644"/>
      <c r="E164" s="94" t="s">
        <v>701</v>
      </c>
      <c r="F164" s="27"/>
      <c r="G164" s="27"/>
      <c r="H164" s="73"/>
    </row>
    <row r="165" spans="2:8" x14ac:dyDescent="0.25">
      <c r="B165" s="25"/>
      <c r="C165" s="93" t="s">
        <v>644</v>
      </c>
      <c r="D165" s="644"/>
      <c r="E165" s="94" t="s">
        <v>701</v>
      </c>
      <c r="F165" s="27"/>
      <c r="G165" s="27"/>
      <c r="H165" s="73"/>
    </row>
    <row r="166" spans="2:8" ht="6" customHeight="1" x14ac:dyDescent="0.25">
      <c r="B166" s="25"/>
      <c r="C166" s="93"/>
      <c r="D166" s="93"/>
      <c r="E166" s="94"/>
      <c r="F166" s="27"/>
      <c r="G166" s="27"/>
      <c r="H166" s="73"/>
    </row>
    <row r="167" spans="2:8" x14ac:dyDescent="0.25">
      <c r="B167" s="745" t="s">
        <v>455</v>
      </c>
      <c r="C167" s="745"/>
      <c r="D167" s="745"/>
      <c r="E167" s="745"/>
      <c r="F167" s="745"/>
      <c r="G167" s="745"/>
      <c r="H167" s="745"/>
    </row>
    <row r="168" spans="2:8" x14ac:dyDescent="0.25">
      <c r="B168" s="54"/>
      <c r="C168" s="93" t="s">
        <v>107</v>
      </c>
      <c r="D168" s="644"/>
      <c r="E168" s="94" t="s">
        <v>701</v>
      </c>
      <c r="F168" s="26"/>
      <c r="G168" s="26"/>
      <c r="H168" s="309"/>
    </row>
    <row r="169" spans="2:8" x14ac:dyDescent="0.25">
      <c r="B169" s="25"/>
      <c r="C169" s="93" t="s">
        <v>121</v>
      </c>
      <c r="D169" s="644"/>
      <c r="E169" s="94" t="s">
        <v>701</v>
      </c>
      <c r="F169" s="27"/>
      <c r="G169" s="27"/>
      <c r="H169" s="73"/>
    </row>
    <row r="170" spans="2:8" x14ac:dyDescent="0.25">
      <c r="B170" s="25"/>
      <c r="C170" s="93" t="s">
        <v>45</v>
      </c>
      <c r="D170" s="644"/>
      <c r="E170" s="94" t="s">
        <v>701</v>
      </c>
      <c r="F170" s="27"/>
      <c r="G170" s="27"/>
      <c r="H170" s="73"/>
    </row>
    <row r="171" spans="2:8" x14ac:dyDescent="0.25">
      <c r="B171" s="25"/>
      <c r="C171" s="93" t="s">
        <v>85</v>
      </c>
      <c r="D171" s="644"/>
      <c r="E171" s="94" t="s">
        <v>701</v>
      </c>
      <c r="F171" s="27"/>
      <c r="G171" s="27"/>
      <c r="H171" s="73"/>
    </row>
    <row r="172" spans="2:8" x14ac:dyDescent="0.25">
      <c r="B172" s="745" t="s">
        <v>243</v>
      </c>
      <c r="C172" s="745"/>
      <c r="D172" s="745"/>
      <c r="E172" s="745"/>
      <c r="F172" s="745"/>
      <c r="G172" s="745"/>
      <c r="H172" s="745"/>
    </row>
    <row r="173" spans="2:8" x14ac:dyDescent="0.25">
      <c r="B173" s="54"/>
      <c r="C173" s="93" t="s">
        <v>376</v>
      </c>
      <c r="D173" s="644"/>
      <c r="E173" s="94" t="s">
        <v>703</v>
      </c>
      <c r="F173" s="26"/>
      <c r="G173" s="26"/>
      <c r="H173" s="309"/>
    </row>
    <row r="174" spans="2:8" x14ac:dyDescent="0.25">
      <c r="B174" s="54"/>
      <c r="C174" s="93" t="s">
        <v>375</v>
      </c>
      <c r="D174" s="644"/>
      <c r="E174" s="94" t="s">
        <v>703</v>
      </c>
      <c r="F174" s="26"/>
      <c r="G174" s="26"/>
      <c r="H174" s="309"/>
    </row>
    <row r="175" spans="2:8" x14ac:dyDescent="0.25">
      <c r="B175" s="54"/>
      <c r="C175" s="93" t="s">
        <v>372</v>
      </c>
      <c r="D175" s="644"/>
      <c r="E175" s="94" t="s">
        <v>703</v>
      </c>
      <c r="F175" s="26"/>
      <c r="G175" s="26"/>
      <c r="H175" s="309"/>
    </row>
    <row r="176" spans="2:8" x14ac:dyDescent="0.25">
      <c r="B176" s="54"/>
      <c r="C176" s="93" t="s">
        <v>373</v>
      </c>
      <c r="D176" s="644"/>
      <c r="E176" s="94" t="s">
        <v>703</v>
      </c>
      <c r="F176" s="26"/>
      <c r="G176" s="26"/>
      <c r="H176" s="309"/>
    </row>
    <row r="177" spans="2:8" x14ac:dyDescent="0.25">
      <c r="B177" s="54"/>
      <c r="C177" s="93" t="s">
        <v>374</v>
      </c>
      <c r="D177" s="644"/>
      <c r="E177" s="94" t="s">
        <v>703</v>
      </c>
      <c r="F177" s="26"/>
      <c r="G177" s="26"/>
      <c r="H177" s="309"/>
    </row>
    <row r="178" spans="2:8" x14ac:dyDescent="0.25">
      <c r="B178" s="25"/>
      <c r="C178" s="93" t="s">
        <v>366</v>
      </c>
      <c r="D178" s="644"/>
      <c r="E178" s="94" t="s">
        <v>702</v>
      </c>
      <c r="F178" s="27"/>
      <c r="G178" s="27"/>
      <c r="H178" s="73"/>
    </row>
    <row r="179" spans="2:8" x14ac:dyDescent="0.25">
      <c r="B179" s="25"/>
      <c r="C179" s="93" t="s">
        <v>367</v>
      </c>
      <c r="D179" s="644"/>
      <c r="E179" s="94" t="s">
        <v>702</v>
      </c>
      <c r="F179" s="27"/>
      <c r="G179" s="27"/>
      <c r="H179" s="73"/>
    </row>
    <row r="180" spans="2:8" x14ac:dyDescent="0.25">
      <c r="B180" s="25"/>
      <c r="C180" s="93" t="s">
        <v>368</v>
      </c>
      <c r="D180" s="644"/>
      <c r="E180" s="94" t="s">
        <v>702</v>
      </c>
      <c r="F180" s="311" t="s">
        <v>379</v>
      </c>
      <c r="G180" s="670"/>
      <c r="H180" s="94"/>
    </row>
    <row r="181" spans="2:8" x14ac:dyDescent="0.25">
      <c r="B181" s="25"/>
      <c r="C181" s="93" t="s">
        <v>369</v>
      </c>
      <c r="D181" s="644"/>
      <c r="E181" s="94" t="s">
        <v>702</v>
      </c>
      <c r="F181" s="27"/>
      <c r="G181" s="27"/>
      <c r="H181" s="73"/>
    </row>
    <row r="182" spans="2:8" x14ac:dyDescent="0.25">
      <c r="B182" s="25"/>
      <c r="C182" s="93" t="s">
        <v>370</v>
      </c>
      <c r="D182" s="644"/>
      <c r="E182" s="94" t="s">
        <v>702</v>
      </c>
      <c r="F182" s="27"/>
      <c r="G182" s="27"/>
      <c r="H182" s="73"/>
    </row>
    <row r="183" spans="2:8" x14ac:dyDescent="0.25">
      <c r="B183" s="25"/>
      <c r="C183" s="93" t="s">
        <v>371</v>
      </c>
      <c r="D183" s="644"/>
      <c r="E183" s="94" t="s">
        <v>702</v>
      </c>
      <c r="F183" s="27"/>
      <c r="G183" s="27"/>
      <c r="H183" s="73"/>
    </row>
    <row r="184" spans="2:8" ht="17.25" x14ac:dyDescent="0.25">
      <c r="B184" s="25"/>
      <c r="C184" s="93" t="s">
        <v>845</v>
      </c>
      <c r="D184" s="644"/>
      <c r="E184" s="94" t="s">
        <v>932</v>
      </c>
      <c r="F184" s="27"/>
      <c r="G184" s="27"/>
      <c r="H184" s="73"/>
    </row>
    <row r="185" spans="2:8" x14ac:dyDescent="0.25">
      <c r="B185" s="54"/>
      <c r="C185" s="93" t="s">
        <v>923</v>
      </c>
      <c r="D185" s="644"/>
      <c r="E185" s="94" t="s">
        <v>704</v>
      </c>
      <c r="F185" s="141" t="s">
        <v>924</v>
      </c>
      <c r="G185" s="646"/>
      <c r="H185" s="410" t="s">
        <v>709</v>
      </c>
    </row>
    <row r="186" spans="2:8" x14ac:dyDescent="0.25">
      <c r="B186" s="54"/>
      <c r="C186" s="93" t="s">
        <v>922</v>
      </c>
      <c r="D186" s="644"/>
      <c r="E186" s="94" t="s">
        <v>704</v>
      </c>
      <c r="F186" s="141" t="s">
        <v>924</v>
      </c>
      <c r="G186" s="646"/>
      <c r="H186" s="410" t="s">
        <v>709</v>
      </c>
    </row>
    <row r="187" spans="2:8" x14ac:dyDescent="0.25">
      <c r="B187" s="54"/>
      <c r="C187" s="93" t="s">
        <v>572</v>
      </c>
      <c r="D187" s="644"/>
      <c r="E187" s="94" t="s">
        <v>704</v>
      </c>
      <c r="F187" s="26"/>
      <c r="G187" s="26"/>
      <c r="H187" s="26"/>
    </row>
    <row r="188" spans="2:8" x14ac:dyDescent="0.25">
      <c r="B188" s="54"/>
      <c r="C188" s="730" t="s">
        <v>106</v>
      </c>
      <c r="D188" s="730"/>
      <c r="E188" s="730"/>
      <c r="F188" s="26"/>
      <c r="G188" s="26"/>
      <c r="H188" s="26"/>
    </row>
    <row r="189" spans="2:8" x14ac:dyDescent="0.25">
      <c r="B189" s="54"/>
      <c r="C189" s="91" t="s">
        <v>392</v>
      </c>
      <c r="D189" s="644"/>
      <c r="E189" s="94" t="s">
        <v>701</v>
      </c>
      <c r="F189" s="26"/>
      <c r="G189" s="26"/>
      <c r="H189" s="26"/>
    </row>
    <row r="190" spans="2:8" x14ac:dyDescent="0.25">
      <c r="B190" s="54"/>
      <c r="C190" s="91" t="s">
        <v>134</v>
      </c>
      <c r="D190" s="670"/>
      <c r="E190" s="94"/>
      <c r="F190" s="26"/>
      <c r="G190" s="26"/>
      <c r="H190" s="26"/>
    </row>
    <row r="191" spans="2:8" x14ac:dyDescent="0.25">
      <c r="B191" s="54"/>
      <c r="C191" s="91" t="s">
        <v>257</v>
      </c>
      <c r="D191" s="644"/>
      <c r="E191" s="94" t="s">
        <v>258</v>
      </c>
      <c r="F191" s="26"/>
      <c r="G191" s="26"/>
      <c r="H191" s="26"/>
    </row>
    <row r="192" spans="2:8" x14ac:dyDescent="0.25">
      <c r="B192" s="54"/>
      <c r="C192" s="730" t="s">
        <v>346</v>
      </c>
      <c r="D192" s="730"/>
      <c r="E192" s="730"/>
      <c r="F192" s="26"/>
      <c r="G192" s="26"/>
      <c r="H192" s="26"/>
    </row>
    <row r="193" spans="2:8" x14ac:dyDescent="0.25">
      <c r="B193" s="54"/>
      <c r="C193" s="91" t="s">
        <v>392</v>
      </c>
      <c r="D193" s="644"/>
      <c r="E193" s="94" t="s">
        <v>701</v>
      </c>
      <c r="F193" s="26"/>
      <c r="G193" s="26"/>
      <c r="H193" s="26"/>
    </row>
    <row r="194" spans="2:8" x14ac:dyDescent="0.25">
      <c r="B194" s="54"/>
      <c r="C194" s="91" t="s">
        <v>134</v>
      </c>
      <c r="D194" s="670"/>
      <c r="E194" s="94"/>
      <c r="F194" s="26"/>
      <c r="G194" s="26"/>
      <c r="H194" s="26"/>
    </row>
    <row r="195" spans="2:8" x14ac:dyDescent="0.25">
      <c r="B195" s="54"/>
      <c r="C195" s="91" t="s">
        <v>257</v>
      </c>
      <c r="D195" s="644"/>
      <c r="E195" s="94" t="s">
        <v>258</v>
      </c>
      <c r="F195" s="26"/>
      <c r="G195" s="26"/>
      <c r="H195" s="26"/>
    </row>
    <row r="196" spans="2:8" x14ac:dyDescent="0.25">
      <c r="B196" s="54"/>
      <c r="C196" s="730" t="s">
        <v>466</v>
      </c>
      <c r="D196" s="730"/>
      <c r="E196" s="730"/>
      <c r="F196" s="26"/>
      <c r="G196" s="26"/>
      <c r="H196" s="26"/>
    </row>
    <row r="197" spans="2:8" x14ac:dyDescent="0.25">
      <c r="B197" s="54"/>
      <c r="C197" s="91" t="s">
        <v>392</v>
      </c>
      <c r="D197" s="644"/>
      <c r="E197" s="94" t="s">
        <v>701</v>
      </c>
      <c r="F197" s="26"/>
      <c r="G197" s="26"/>
      <c r="H197" s="26"/>
    </row>
    <row r="198" spans="2:8" x14ac:dyDescent="0.25">
      <c r="B198" s="54"/>
      <c r="C198" s="91" t="s">
        <v>134</v>
      </c>
      <c r="D198" s="670"/>
      <c r="E198" s="94"/>
      <c r="F198" s="26"/>
      <c r="G198" s="26"/>
      <c r="H198" s="26"/>
    </row>
    <row r="199" spans="2:8" x14ac:dyDescent="0.25">
      <c r="B199" s="54"/>
      <c r="C199" s="91" t="s">
        <v>257</v>
      </c>
      <c r="D199" s="644"/>
      <c r="E199" s="94" t="s">
        <v>258</v>
      </c>
      <c r="F199" s="26"/>
      <c r="G199" s="26"/>
      <c r="H199" s="26"/>
    </row>
    <row r="200" spans="2:8" x14ac:dyDescent="0.25">
      <c r="B200" s="54"/>
      <c r="C200" s="730" t="s">
        <v>259</v>
      </c>
      <c r="D200" s="730"/>
      <c r="E200" s="730"/>
      <c r="F200" s="26"/>
      <c r="G200" s="26"/>
      <c r="H200" s="26"/>
    </row>
    <row r="201" spans="2:8" x14ac:dyDescent="0.25">
      <c r="B201" s="54"/>
      <c r="C201" s="91" t="s">
        <v>392</v>
      </c>
      <c r="D201" s="644"/>
      <c r="E201" s="94" t="s">
        <v>701</v>
      </c>
      <c r="F201" s="26"/>
      <c r="G201" s="26"/>
      <c r="H201" s="26"/>
    </row>
    <row r="202" spans="2:8" x14ac:dyDescent="0.25">
      <c r="B202" s="54"/>
      <c r="C202" s="91" t="s">
        <v>134</v>
      </c>
      <c r="D202" s="670"/>
      <c r="E202" s="94"/>
      <c r="F202" s="26"/>
      <c r="G202" s="26"/>
      <c r="H202" s="26"/>
    </row>
    <row r="203" spans="2:8" x14ac:dyDescent="0.25">
      <c r="B203" s="54"/>
      <c r="C203" s="91" t="s">
        <v>257</v>
      </c>
      <c r="D203" s="644"/>
      <c r="E203" s="94" t="s">
        <v>258</v>
      </c>
      <c r="F203" s="26"/>
      <c r="G203" s="26"/>
      <c r="H203" s="26"/>
    </row>
    <row r="204" spans="2:8" x14ac:dyDescent="0.25">
      <c r="B204" s="54"/>
      <c r="C204" s="730" t="s">
        <v>573</v>
      </c>
      <c r="D204" s="730"/>
      <c r="E204" s="730"/>
      <c r="F204" s="26"/>
      <c r="G204" s="26"/>
      <c r="H204" s="26"/>
    </row>
    <row r="205" spans="2:8" x14ac:dyDescent="0.25">
      <c r="B205" s="54"/>
      <c r="C205" s="91" t="s">
        <v>392</v>
      </c>
      <c r="D205" s="644"/>
      <c r="E205" s="94" t="s">
        <v>701</v>
      </c>
      <c r="F205" s="26"/>
      <c r="G205" s="26"/>
      <c r="H205" s="26"/>
    </row>
    <row r="206" spans="2:8" x14ac:dyDescent="0.25">
      <c r="B206" s="54"/>
      <c r="C206" s="91" t="s">
        <v>134</v>
      </c>
      <c r="D206" s="670"/>
      <c r="E206" s="94"/>
      <c r="F206" s="26"/>
      <c r="G206" s="26"/>
      <c r="H206" s="26"/>
    </row>
    <row r="207" spans="2:8" x14ac:dyDescent="0.25">
      <c r="B207" s="54"/>
      <c r="C207" s="91" t="s">
        <v>257</v>
      </c>
      <c r="D207" s="644"/>
      <c r="E207" s="94" t="s">
        <v>258</v>
      </c>
      <c r="F207" s="26"/>
      <c r="G207" s="26"/>
      <c r="H207" s="26"/>
    </row>
    <row r="208" spans="2:8" ht="6" customHeight="1" x14ac:dyDescent="0.25">
      <c r="B208" s="54"/>
      <c r="C208" s="54"/>
      <c r="D208" s="54"/>
      <c r="E208" s="54"/>
      <c r="F208" s="54"/>
      <c r="G208" s="54"/>
      <c r="H208" s="54"/>
    </row>
    <row r="209" spans="2:8" x14ac:dyDescent="0.25">
      <c r="D209" s="85"/>
    </row>
    <row r="210" spans="2:8" ht="18.75" x14ac:dyDescent="0.25">
      <c r="B210" s="732" t="s">
        <v>961</v>
      </c>
      <c r="C210" s="732"/>
      <c r="D210" s="732"/>
      <c r="E210" s="732"/>
      <c r="F210" s="732"/>
      <c r="G210" s="732"/>
      <c r="H210" s="732"/>
    </row>
    <row r="211" spans="2:8" ht="6" customHeight="1" x14ac:dyDescent="0.25">
      <c r="D211" s="85"/>
    </row>
    <row r="212" spans="2:8" x14ac:dyDescent="0.25">
      <c r="B212" s="26"/>
      <c r="C212" s="91" t="s">
        <v>278</v>
      </c>
      <c r="D212" s="670">
        <v>0</v>
      </c>
      <c r="E212" s="25"/>
      <c r="F212" s="229"/>
      <c r="G212" s="229"/>
      <c r="H212" s="291"/>
    </row>
    <row r="213" spans="2:8" x14ac:dyDescent="0.25">
      <c r="B213" s="26"/>
      <c r="C213" s="91" t="s">
        <v>896</v>
      </c>
      <c r="D213" s="670">
        <v>0</v>
      </c>
      <c r="E213" s="659" t="str">
        <f>IF((SUM(D212:D214)=1),"","A soma das porcentagens de distribuição deve ser igual a 100%!")</f>
        <v>A soma das porcentagens de distribuição deve ser igual a 100%!</v>
      </c>
      <c r="F213" s="229"/>
      <c r="G213" s="229"/>
      <c r="H213" s="291"/>
    </row>
    <row r="214" spans="2:8" x14ac:dyDescent="0.25">
      <c r="B214" s="26"/>
      <c r="C214" s="91" t="s">
        <v>894</v>
      </c>
      <c r="D214" s="670">
        <v>0</v>
      </c>
      <c r="E214" s="25"/>
      <c r="F214" s="229"/>
      <c r="G214" s="229"/>
      <c r="H214" s="291"/>
    </row>
    <row r="215" spans="2:8" ht="6" customHeight="1" x14ac:dyDescent="0.25">
      <c r="B215" s="229"/>
      <c r="C215" s="229"/>
      <c r="D215" s="25"/>
      <c r="E215" s="25"/>
      <c r="F215" s="229"/>
      <c r="G215" s="229"/>
      <c r="H215" s="291"/>
    </row>
    <row r="216" spans="2:8" x14ac:dyDescent="0.25">
      <c r="D216" s="85"/>
    </row>
    <row r="241" spans="4:4" x14ac:dyDescent="0.25">
      <c r="D241" s="85"/>
    </row>
    <row r="242" spans="4:4" x14ac:dyDescent="0.25">
      <c r="D242" s="85"/>
    </row>
    <row r="243" spans="4:4" x14ac:dyDescent="0.25">
      <c r="D243" s="85"/>
    </row>
    <row r="244" spans="4:4" x14ac:dyDescent="0.25">
      <c r="D244" s="85"/>
    </row>
    <row r="245" spans="4:4" x14ac:dyDescent="0.25">
      <c r="D245" s="85"/>
    </row>
    <row r="246" spans="4:4" x14ac:dyDescent="0.25">
      <c r="D246" s="85"/>
    </row>
    <row r="247" spans="4:4" x14ac:dyDescent="0.25">
      <c r="D247" s="85"/>
    </row>
    <row r="248" spans="4:4" x14ac:dyDescent="0.25">
      <c r="D248" s="85"/>
    </row>
    <row r="249" spans="4:4" x14ac:dyDescent="0.25">
      <c r="D249" s="85"/>
    </row>
    <row r="250" spans="4:4" x14ac:dyDescent="0.25">
      <c r="D250" s="85"/>
    </row>
    <row r="251" spans="4:4" x14ac:dyDescent="0.25">
      <c r="D251" s="85"/>
    </row>
    <row r="252" spans="4:4" x14ac:dyDescent="0.25">
      <c r="D252" s="85"/>
    </row>
    <row r="253" spans="4:4" x14ac:dyDescent="0.25">
      <c r="D253" s="85"/>
    </row>
    <row r="254" spans="4:4" x14ac:dyDescent="0.25">
      <c r="D254" s="85"/>
    </row>
    <row r="255" spans="4:4" x14ac:dyDescent="0.25">
      <c r="D255" s="85"/>
    </row>
    <row r="256" spans="4:4" x14ac:dyDescent="0.25">
      <c r="D256" s="85"/>
    </row>
    <row r="257" spans="4:4" x14ac:dyDescent="0.25">
      <c r="D257" s="85"/>
    </row>
    <row r="258" spans="4:4" x14ac:dyDescent="0.25">
      <c r="D258" s="85"/>
    </row>
    <row r="259" spans="4:4" x14ac:dyDescent="0.25">
      <c r="D259" s="85"/>
    </row>
    <row r="260" spans="4:4" x14ac:dyDescent="0.25">
      <c r="D260" s="85"/>
    </row>
    <row r="261" spans="4:4" x14ac:dyDescent="0.25">
      <c r="D261" s="85"/>
    </row>
    <row r="262" spans="4:4" x14ac:dyDescent="0.25">
      <c r="D262" s="85"/>
    </row>
    <row r="263" spans="4:4" x14ac:dyDescent="0.25">
      <c r="D263" s="85"/>
    </row>
    <row r="264" spans="4:4" x14ac:dyDescent="0.25">
      <c r="D264" s="85"/>
    </row>
    <row r="265" spans="4:4" x14ac:dyDescent="0.25">
      <c r="D265" s="85"/>
    </row>
    <row r="266" spans="4:4" x14ac:dyDescent="0.25">
      <c r="D266" s="85"/>
    </row>
    <row r="267" spans="4:4" x14ac:dyDescent="0.25">
      <c r="D267" s="85"/>
    </row>
    <row r="268" spans="4:4" x14ac:dyDescent="0.25">
      <c r="D268" s="85"/>
    </row>
    <row r="269" spans="4:4" x14ac:dyDescent="0.25">
      <c r="D269" s="85"/>
    </row>
    <row r="270" spans="4:4" x14ac:dyDescent="0.25">
      <c r="D270" s="85"/>
    </row>
    <row r="271" spans="4:4" x14ac:dyDescent="0.25">
      <c r="D271" s="85"/>
    </row>
    <row r="272" spans="4:4" x14ac:dyDescent="0.25">
      <c r="D272" s="85"/>
    </row>
    <row r="273" spans="4:4" x14ac:dyDescent="0.25">
      <c r="D273" s="85"/>
    </row>
    <row r="274" spans="4:4" x14ac:dyDescent="0.25">
      <c r="D274" s="85"/>
    </row>
    <row r="275" spans="4:4" x14ac:dyDescent="0.25">
      <c r="D275" s="85"/>
    </row>
    <row r="276" spans="4:4" x14ac:dyDescent="0.25">
      <c r="D276" s="85"/>
    </row>
    <row r="277" spans="4:4" x14ac:dyDescent="0.25">
      <c r="D277" s="85"/>
    </row>
    <row r="278" spans="4:4" x14ac:dyDescent="0.25">
      <c r="D278" s="85"/>
    </row>
    <row r="279" spans="4:4" x14ac:dyDescent="0.25">
      <c r="D279" s="85"/>
    </row>
    <row r="280" spans="4:4" x14ac:dyDescent="0.25">
      <c r="D280" s="85"/>
    </row>
    <row r="281" spans="4:4" x14ac:dyDescent="0.25">
      <c r="D281" s="85"/>
    </row>
    <row r="282" spans="4:4" x14ac:dyDescent="0.25">
      <c r="D282" s="85"/>
    </row>
    <row r="283" spans="4:4" x14ac:dyDescent="0.25">
      <c r="D283" s="85"/>
    </row>
    <row r="284" spans="4:4" x14ac:dyDescent="0.25">
      <c r="D284" s="85"/>
    </row>
    <row r="285" spans="4:4" x14ac:dyDescent="0.25">
      <c r="D285" s="85"/>
    </row>
    <row r="286" spans="4:4" x14ac:dyDescent="0.25">
      <c r="D286" s="85"/>
    </row>
    <row r="287" spans="4:4" x14ac:dyDescent="0.25">
      <c r="D287" s="85"/>
    </row>
    <row r="288" spans="4:4" x14ac:dyDescent="0.25">
      <c r="D288" s="85"/>
    </row>
    <row r="289" spans="4:4" x14ac:dyDescent="0.25">
      <c r="D289" s="85"/>
    </row>
    <row r="290" spans="4:4" x14ac:dyDescent="0.25">
      <c r="D290" s="85"/>
    </row>
    <row r="291" spans="4:4" x14ac:dyDescent="0.25">
      <c r="D291" s="85"/>
    </row>
    <row r="292" spans="4:4" x14ac:dyDescent="0.25">
      <c r="D292" s="85"/>
    </row>
    <row r="293" spans="4:4" x14ac:dyDescent="0.25">
      <c r="D293" s="85"/>
    </row>
    <row r="294" spans="4:4" x14ac:dyDescent="0.25">
      <c r="D294" s="85"/>
    </row>
    <row r="295" spans="4:4" x14ac:dyDescent="0.25">
      <c r="D295" s="85"/>
    </row>
    <row r="296" spans="4:4" x14ac:dyDescent="0.25">
      <c r="D296" s="85"/>
    </row>
    <row r="297" spans="4:4" x14ac:dyDescent="0.25">
      <c r="D297" s="85"/>
    </row>
    <row r="298" spans="4:4" x14ac:dyDescent="0.25">
      <c r="D298" s="85"/>
    </row>
    <row r="299" spans="4:4" x14ac:dyDescent="0.25">
      <c r="D299" s="85"/>
    </row>
    <row r="300" spans="4:4" x14ac:dyDescent="0.25">
      <c r="D300" s="85"/>
    </row>
    <row r="301" spans="4:4" x14ac:dyDescent="0.25">
      <c r="D301" s="85"/>
    </row>
    <row r="302" spans="4:4" x14ac:dyDescent="0.25">
      <c r="D302" s="85"/>
    </row>
    <row r="303" spans="4:4" x14ac:dyDescent="0.25">
      <c r="D303" s="85"/>
    </row>
    <row r="304" spans="4:4" x14ac:dyDescent="0.25">
      <c r="D304" s="85"/>
    </row>
    <row r="305" spans="4:4" x14ac:dyDescent="0.25">
      <c r="D305" s="85"/>
    </row>
    <row r="306" spans="4:4" x14ac:dyDescent="0.25">
      <c r="D306" s="85"/>
    </row>
    <row r="307" spans="4:4" x14ac:dyDescent="0.25">
      <c r="D307" s="85"/>
    </row>
    <row r="308" spans="4:4" x14ac:dyDescent="0.25">
      <c r="D308" s="85"/>
    </row>
    <row r="309" spans="4:4" x14ac:dyDescent="0.25">
      <c r="D309" s="85"/>
    </row>
    <row r="310" spans="4:4" x14ac:dyDescent="0.25">
      <c r="D310" s="85"/>
    </row>
    <row r="311" spans="4:4" x14ac:dyDescent="0.25">
      <c r="D311" s="85"/>
    </row>
    <row r="312" spans="4:4" x14ac:dyDescent="0.25">
      <c r="D312" s="85"/>
    </row>
    <row r="313" spans="4:4" x14ac:dyDescent="0.25">
      <c r="D313" s="85"/>
    </row>
    <row r="314" spans="4:4" x14ac:dyDescent="0.25">
      <c r="D314" s="85"/>
    </row>
    <row r="315" spans="4:4" x14ac:dyDescent="0.25">
      <c r="D315" s="85"/>
    </row>
    <row r="316" spans="4:4" x14ac:dyDescent="0.25">
      <c r="D316" s="85"/>
    </row>
    <row r="317" spans="4:4" x14ac:dyDescent="0.25">
      <c r="D317" s="85"/>
    </row>
    <row r="318" spans="4:4" x14ac:dyDescent="0.25">
      <c r="D318" s="85"/>
    </row>
    <row r="319" spans="4:4" x14ac:dyDescent="0.25">
      <c r="D319" s="85"/>
    </row>
    <row r="320" spans="4:4" x14ac:dyDescent="0.25">
      <c r="D320" s="85"/>
    </row>
    <row r="321" spans="4:4" x14ac:dyDescent="0.25">
      <c r="D321" s="85"/>
    </row>
    <row r="322" spans="4:4" x14ac:dyDescent="0.25">
      <c r="D322" s="85"/>
    </row>
    <row r="323" spans="4:4" x14ac:dyDescent="0.25">
      <c r="D323" s="85"/>
    </row>
    <row r="324" spans="4:4" x14ac:dyDescent="0.25">
      <c r="D324" s="85"/>
    </row>
    <row r="325" spans="4:4" x14ac:dyDescent="0.25">
      <c r="D325" s="85"/>
    </row>
    <row r="326" spans="4:4" x14ac:dyDescent="0.25">
      <c r="D326" s="85"/>
    </row>
    <row r="327" spans="4:4" x14ac:dyDescent="0.25">
      <c r="D327" s="85"/>
    </row>
    <row r="328" spans="4:4" x14ac:dyDescent="0.25">
      <c r="D328" s="85"/>
    </row>
    <row r="329" spans="4:4" x14ac:dyDescent="0.25">
      <c r="D329" s="85"/>
    </row>
    <row r="330" spans="4:4" x14ac:dyDescent="0.25">
      <c r="D330" s="85"/>
    </row>
    <row r="331" spans="4:4" x14ac:dyDescent="0.25">
      <c r="D331" s="85"/>
    </row>
    <row r="332" spans="4:4" x14ac:dyDescent="0.25">
      <c r="D332" s="85"/>
    </row>
    <row r="333" spans="4:4" x14ac:dyDescent="0.25">
      <c r="D333" s="85"/>
    </row>
    <row r="334" spans="4:4" x14ac:dyDescent="0.25">
      <c r="D334" s="85"/>
    </row>
    <row r="335" spans="4:4" x14ac:dyDescent="0.25">
      <c r="D335" s="85"/>
    </row>
    <row r="336" spans="4:4" x14ac:dyDescent="0.25">
      <c r="D336" s="85"/>
    </row>
    <row r="337" spans="4:4" x14ac:dyDescent="0.25">
      <c r="D337" s="85"/>
    </row>
    <row r="338" spans="4:4" x14ac:dyDescent="0.25">
      <c r="D338" s="85"/>
    </row>
    <row r="339" spans="4:4" x14ac:dyDescent="0.25">
      <c r="D339" s="85"/>
    </row>
    <row r="340" spans="4:4" x14ac:dyDescent="0.25">
      <c r="D340" s="85"/>
    </row>
    <row r="341" spans="4:4" x14ac:dyDescent="0.25">
      <c r="D341" s="85"/>
    </row>
    <row r="342" spans="4:4" x14ac:dyDescent="0.25">
      <c r="D342" s="85"/>
    </row>
    <row r="343" spans="4:4" x14ac:dyDescent="0.25">
      <c r="D343" s="85"/>
    </row>
    <row r="344" spans="4:4" x14ac:dyDescent="0.25">
      <c r="D344" s="85"/>
    </row>
    <row r="345" spans="4:4" x14ac:dyDescent="0.25">
      <c r="D345" s="85"/>
    </row>
    <row r="346" spans="4:4" x14ac:dyDescent="0.25">
      <c r="D346" s="85"/>
    </row>
    <row r="347" spans="4:4" x14ac:dyDescent="0.25">
      <c r="D347" s="85"/>
    </row>
    <row r="348" spans="4:4" x14ac:dyDescent="0.25">
      <c r="D348" s="85"/>
    </row>
    <row r="349" spans="4:4" x14ac:dyDescent="0.25">
      <c r="D349" s="85"/>
    </row>
    <row r="350" spans="4:4" x14ac:dyDescent="0.25">
      <c r="D350" s="85"/>
    </row>
    <row r="351" spans="4:4" x14ac:dyDescent="0.25">
      <c r="D351" s="85"/>
    </row>
    <row r="352" spans="4:4" x14ac:dyDescent="0.25">
      <c r="D352" s="85"/>
    </row>
    <row r="353" spans="4:4" x14ac:dyDescent="0.25">
      <c r="D353" s="85"/>
    </row>
    <row r="354" spans="4:4" x14ac:dyDescent="0.25">
      <c r="D354" s="85"/>
    </row>
    <row r="355" spans="4:4" x14ac:dyDescent="0.25">
      <c r="D355" s="85"/>
    </row>
    <row r="356" spans="4:4" x14ac:dyDescent="0.25">
      <c r="D356" s="85"/>
    </row>
    <row r="357" spans="4:4" x14ac:dyDescent="0.25">
      <c r="D357" s="85"/>
    </row>
    <row r="358" spans="4:4" x14ac:dyDescent="0.25">
      <c r="D358" s="85"/>
    </row>
    <row r="359" spans="4:4" x14ac:dyDescent="0.25">
      <c r="D359" s="85"/>
    </row>
    <row r="360" spans="4:4" x14ac:dyDescent="0.25">
      <c r="D360" s="85"/>
    </row>
    <row r="361" spans="4:4" x14ac:dyDescent="0.25">
      <c r="D361" s="85"/>
    </row>
    <row r="362" spans="4:4" x14ac:dyDescent="0.25">
      <c r="D362" s="85"/>
    </row>
    <row r="363" spans="4:4" x14ac:dyDescent="0.25">
      <c r="D363" s="85"/>
    </row>
    <row r="364" spans="4:4" x14ac:dyDescent="0.25">
      <c r="D364" s="85"/>
    </row>
    <row r="365" spans="4:4" x14ac:dyDescent="0.25">
      <c r="D365" s="85"/>
    </row>
    <row r="366" spans="4:4" x14ac:dyDescent="0.25">
      <c r="D366" s="85"/>
    </row>
    <row r="367" spans="4:4" x14ac:dyDescent="0.25">
      <c r="D367" s="85"/>
    </row>
    <row r="368" spans="4:4" x14ac:dyDescent="0.25">
      <c r="D368" s="85"/>
    </row>
    <row r="369" spans="4:4" x14ac:dyDescent="0.25">
      <c r="D369" s="85"/>
    </row>
    <row r="370" spans="4:4" x14ac:dyDescent="0.25">
      <c r="D370" s="85"/>
    </row>
    <row r="371" spans="4:4" x14ac:dyDescent="0.25">
      <c r="D371" s="85"/>
    </row>
    <row r="372" spans="4:4" x14ac:dyDescent="0.25">
      <c r="D372" s="85"/>
    </row>
    <row r="373" spans="4:4" x14ac:dyDescent="0.25">
      <c r="D373" s="85"/>
    </row>
    <row r="374" spans="4:4" x14ac:dyDescent="0.25">
      <c r="D374" s="85"/>
    </row>
    <row r="375" spans="4:4" x14ac:dyDescent="0.25">
      <c r="D375" s="85"/>
    </row>
    <row r="376" spans="4:4" x14ac:dyDescent="0.25">
      <c r="D376" s="85"/>
    </row>
    <row r="377" spans="4:4" x14ac:dyDescent="0.25">
      <c r="D377" s="85"/>
    </row>
    <row r="378" spans="4:4" x14ac:dyDescent="0.25">
      <c r="D378" s="85"/>
    </row>
    <row r="379" spans="4:4" x14ac:dyDescent="0.25">
      <c r="D379" s="85"/>
    </row>
    <row r="380" spans="4:4" x14ac:dyDescent="0.25">
      <c r="D380" s="85"/>
    </row>
    <row r="381" spans="4:4" x14ac:dyDescent="0.25">
      <c r="D381" s="85"/>
    </row>
    <row r="382" spans="4:4" x14ac:dyDescent="0.25">
      <c r="D382" s="85"/>
    </row>
    <row r="383" spans="4:4" x14ac:dyDescent="0.25">
      <c r="D383" s="85"/>
    </row>
    <row r="384" spans="4:4" x14ac:dyDescent="0.25">
      <c r="D384" s="85"/>
    </row>
    <row r="385" spans="4:4" x14ac:dyDescent="0.25">
      <c r="D385" s="85"/>
    </row>
    <row r="386" spans="4:4" x14ac:dyDescent="0.25">
      <c r="D386" s="85"/>
    </row>
    <row r="387" spans="4:4" x14ac:dyDescent="0.25">
      <c r="D387" s="85"/>
    </row>
    <row r="388" spans="4:4" x14ac:dyDescent="0.25">
      <c r="D388" s="85"/>
    </row>
    <row r="389" spans="4:4" x14ac:dyDescent="0.25">
      <c r="D389" s="85"/>
    </row>
    <row r="390" spans="4:4" x14ac:dyDescent="0.25">
      <c r="D390" s="85"/>
    </row>
    <row r="391" spans="4:4" x14ac:dyDescent="0.25">
      <c r="D391" s="85"/>
    </row>
    <row r="392" spans="4:4" x14ac:dyDescent="0.25">
      <c r="D392" s="85"/>
    </row>
    <row r="393" spans="4:4" x14ac:dyDescent="0.25">
      <c r="D393" s="85"/>
    </row>
    <row r="394" spans="4:4" x14ac:dyDescent="0.25">
      <c r="D394" s="85"/>
    </row>
    <row r="395" spans="4:4" x14ac:dyDescent="0.25">
      <c r="D395" s="85"/>
    </row>
    <row r="396" spans="4:4" x14ac:dyDescent="0.25">
      <c r="D396" s="85"/>
    </row>
    <row r="397" spans="4:4" x14ac:dyDescent="0.25">
      <c r="D397" s="85"/>
    </row>
    <row r="398" spans="4:4" x14ac:dyDescent="0.25">
      <c r="D398" s="85"/>
    </row>
    <row r="399" spans="4:4" x14ac:dyDescent="0.25">
      <c r="D399" s="85"/>
    </row>
    <row r="400" spans="4:4" x14ac:dyDescent="0.25">
      <c r="D400" s="85"/>
    </row>
    <row r="401" spans="4:4" x14ac:dyDescent="0.25">
      <c r="D401" s="85"/>
    </row>
    <row r="402" spans="4:4" x14ac:dyDescent="0.25">
      <c r="D402" s="85"/>
    </row>
    <row r="403" spans="4:4" x14ac:dyDescent="0.25">
      <c r="D403" s="85"/>
    </row>
    <row r="404" spans="4:4" x14ac:dyDescent="0.25">
      <c r="D404" s="85"/>
    </row>
    <row r="405" spans="4:4" x14ac:dyDescent="0.25">
      <c r="D405" s="85"/>
    </row>
    <row r="406" spans="4:4" x14ac:dyDescent="0.25">
      <c r="D406" s="85"/>
    </row>
    <row r="407" spans="4:4" x14ac:dyDescent="0.25">
      <c r="D407" s="85"/>
    </row>
    <row r="408" spans="4:4" x14ac:dyDescent="0.25">
      <c r="D408" s="85"/>
    </row>
    <row r="409" spans="4:4" x14ac:dyDescent="0.25">
      <c r="D409" s="85"/>
    </row>
    <row r="410" spans="4:4" x14ac:dyDescent="0.25">
      <c r="D410" s="85"/>
    </row>
    <row r="411" spans="4:4" x14ac:dyDescent="0.25">
      <c r="D411" s="85"/>
    </row>
    <row r="412" spans="4:4" x14ac:dyDescent="0.25">
      <c r="D412" s="85"/>
    </row>
    <row r="413" spans="4:4" x14ac:dyDescent="0.25">
      <c r="D413" s="85"/>
    </row>
    <row r="414" spans="4:4" x14ac:dyDescent="0.25">
      <c r="D414" s="85"/>
    </row>
    <row r="415" spans="4:4" x14ac:dyDescent="0.25">
      <c r="D415" s="85"/>
    </row>
    <row r="416" spans="4:4" x14ac:dyDescent="0.25">
      <c r="D416" s="85"/>
    </row>
    <row r="417" spans="4:4" x14ac:dyDescent="0.25">
      <c r="D417" s="85"/>
    </row>
    <row r="418" spans="4:4" x14ac:dyDescent="0.25">
      <c r="D418" s="85"/>
    </row>
    <row r="419" spans="4:4" x14ac:dyDescent="0.25">
      <c r="D419" s="85"/>
    </row>
    <row r="420" spans="4:4" x14ac:dyDescent="0.25">
      <c r="D420" s="85"/>
    </row>
    <row r="421" spans="4:4" x14ac:dyDescent="0.25">
      <c r="D421" s="85"/>
    </row>
    <row r="422" spans="4:4" x14ac:dyDescent="0.25">
      <c r="D422" s="85"/>
    </row>
    <row r="423" spans="4:4" x14ac:dyDescent="0.25">
      <c r="D423" s="85"/>
    </row>
    <row r="424" spans="4:4" x14ac:dyDescent="0.25">
      <c r="D424" s="85"/>
    </row>
    <row r="425" spans="4:4" x14ac:dyDescent="0.25">
      <c r="D425" s="85"/>
    </row>
    <row r="426" spans="4:4" x14ac:dyDescent="0.25">
      <c r="D426" s="85"/>
    </row>
    <row r="427" spans="4:4" x14ac:dyDescent="0.25">
      <c r="D427" s="85"/>
    </row>
    <row r="428" spans="4:4" x14ac:dyDescent="0.25">
      <c r="D428" s="85"/>
    </row>
    <row r="429" spans="4:4" x14ac:dyDescent="0.25">
      <c r="D429" s="85"/>
    </row>
    <row r="430" spans="4:4" x14ac:dyDescent="0.25">
      <c r="D430" s="85"/>
    </row>
    <row r="431" spans="4:4" x14ac:dyDescent="0.25">
      <c r="D431" s="85"/>
    </row>
    <row r="432" spans="4:4" x14ac:dyDescent="0.25">
      <c r="D432" s="85"/>
    </row>
    <row r="433" spans="4:4" x14ac:dyDescent="0.25">
      <c r="D433" s="85"/>
    </row>
    <row r="434" spans="4:4" x14ac:dyDescent="0.25">
      <c r="D434" s="85"/>
    </row>
    <row r="435" spans="4:4" x14ac:dyDescent="0.25">
      <c r="D435" s="85"/>
    </row>
    <row r="436" spans="4:4" x14ac:dyDescent="0.25">
      <c r="D436" s="85"/>
    </row>
    <row r="437" spans="4:4" x14ac:dyDescent="0.25">
      <c r="D437" s="85"/>
    </row>
    <row r="438" spans="4:4" x14ac:dyDescent="0.25">
      <c r="D438" s="85"/>
    </row>
    <row r="439" spans="4:4" x14ac:dyDescent="0.25">
      <c r="D439" s="85"/>
    </row>
  </sheetData>
  <sheetProtection password="E2B3" sheet="1" objects="1" scenarios="1" selectLockedCells="1"/>
  <mergeCells count="35">
    <mergeCell ref="B25:H25"/>
    <mergeCell ref="C4:H4"/>
    <mergeCell ref="C6:H6"/>
    <mergeCell ref="C8:H8"/>
    <mergeCell ref="C10:D10"/>
    <mergeCell ref="C13:D13"/>
    <mergeCell ref="D15:F15"/>
    <mergeCell ref="B26:H26"/>
    <mergeCell ref="B59:H59"/>
    <mergeCell ref="B66:H66"/>
    <mergeCell ref="B41:H41"/>
    <mergeCell ref="B172:H172"/>
    <mergeCell ref="C119:E119"/>
    <mergeCell ref="C123:E123"/>
    <mergeCell ref="B85:H85"/>
    <mergeCell ref="B91:H91"/>
    <mergeCell ref="F136:F137"/>
    <mergeCell ref="G136:G137"/>
    <mergeCell ref="H136:H137"/>
    <mergeCell ref="C111:E111"/>
    <mergeCell ref="C107:E107"/>
    <mergeCell ref="C115:E115"/>
    <mergeCell ref="B167:H167"/>
    <mergeCell ref="B31:C31"/>
    <mergeCell ref="B210:H210"/>
    <mergeCell ref="B33:H33"/>
    <mergeCell ref="B38:H38"/>
    <mergeCell ref="B84:H84"/>
    <mergeCell ref="C196:E196"/>
    <mergeCell ref="C200:E200"/>
    <mergeCell ref="C204:E204"/>
    <mergeCell ref="C188:E188"/>
    <mergeCell ref="C192:E192"/>
    <mergeCell ref="B129:H129"/>
    <mergeCell ref="B130:H130"/>
  </mergeCells>
  <conditionalFormatting sqref="D37">
    <cfRule type="expression" dxfId="11" priority="6">
      <formula>$B$26</formula>
    </cfRule>
  </conditionalFormatting>
  <conditionalFormatting sqref="D40">
    <cfRule type="expression" dxfId="10" priority="4">
      <formula>$B$26</formula>
    </cfRule>
  </conditionalFormatting>
  <conditionalFormatting sqref="D32">
    <cfRule type="expression" dxfId="9" priority="5">
      <formula>$B$26</formula>
    </cfRule>
  </conditionalFormatting>
  <conditionalFormatting sqref="D82">
    <cfRule type="expression" dxfId="8" priority="3">
      <formula>$B$26</formula>
    </cfRule>
  </conditionalFormatting>
  <conditionalFormatting sqref="D90">
    <cfRule type="expression" dxfId="7" priority="1">
      <formula>$B$26</formula>
    </cfRule>
  </conditionalFormatting>
  <dataValidations xWindow="515" yWindow="492" count="62">
    <dataValidation type="custom" allowBlank="1" showInputMessage="1" showErrorMessage="1" error="Número inválido. Podem ser preenchidos números com até duas casas decimais." prompt="Refere-se à área total da usina, ou seja, a soma das áreas de plantio e colheita. " sqref="D28 D158" xr:uid="{00000000-0002-0000-0F00-000000000000}">
      <formula1>IF(AND(D28&gt;=0,D28=ROUND(D28,2)),D28,"")</formula1>
    </dataValidation>
    <dataValidation type="decimal" allowBlank="1" showInputMessage="1" showErrorMessage="1" error="Número inválido. " prompt="No campo BX, X representa o teor de mistura de biodiesel vigente no ano de referência para o preenchimento." sqref="G180" xr:uid="{00000000-0002-0000-0F00-000001000000}">
      <formula1>0</formula1>
      <formula2>1</formula2>
    </dataValidation>
    <dataValidation type="decimal" allowBlank="1" showInputMessage="1" showErrorMessage="1" error="Número inválido." prompt="Teor de umidade:_x000a__x000a_Massa de água / Massa total" sqref="D125 D190 D194 D202 D206 D121 D117 D113 D198" xr:uid="{00000000-0002-0000-0F00-000002000000}">
      <formula1>0</formula1>
      <formula2>1</formula2>
    </dataValidation>
    <dataValidation type="decimal" allowBlank="1" showInputMessage="1" showErrorMessage="1" error="Número inválido." prompt="Refere-se ao percentual do volume de biodiesel comercializado que é distribuido (distância percorrida da usina até o posto de combustível) via sistema logístico &quot;Rodoviário + Ferroviário&quot;." sqref="D214" xr:uid="{00000000-0002-0000-0F00-000003000000}">
      <formula1>0</formula1>
      <formula2>1</formula2>
    </dataValidation>
    <dataValidation type="decimal" allowBlank="1" showInputMessage="1" showErrorMessage="1" error="Número inválido." prompt="Refere-se ao percentual do volume de biodiesel comercializado que é distribuido (distância percorrida da usina até o posto de combustível) via sistema logístico exclusivamente Rodoviário." sqref="D212" xr:uid="{00000000-0002-0000-0F00-000004000000}">
      <formula1>0</formula1>
      <formula2>1</formula2>
    </dataValidation>
    <dataValidation type="decimal" allowBlank="1" showInputMessage="1" showErrorMessage="1" error="Número inválido." prompt="Refere-se ao teor médio de umidade da soja." sqref="G30" xr:uid="{00000000-0002-0000-0F00-000005000000}">
      <formula1>0</formula1>
      <formula2>1</formula2>
    </dataValidation>
    <dataValidation type="list" allowBlank="1" showInputMessage="1" showErrorMessage="1" prompt="Especificar o tipo de rota de produção: Etílica ou Metílica." sqref="D162" xr:uid="{00000000-0002-0000-0F00-000006000000}">
      <formula1>Rota_Biodiesel</formula1>
    </dataValidation>
    <dataValidation type="list" allowBlank="1" showInputMessage="1" showErrorMessage="1" prompt="Defina o sistema de plantio realizado" sqref="D27" xr:uid="{00000000-0002-0000-0F00-000007000000}">
      <formula1>Sistema_Plantio</formula1>
    </dataValidation>
    <dataValidation type="decimal" allowBlank="1" showInputMessage="1" showErrorMessage="1" error="Número inválido." prompt="Refere-se ao percentual do volume de biodiesel comercializado que é distribuido (distância percorrida da usina até o posto de combustível) via sistema logístico &quot;Rodoviário + Fluvial&quot;." sqref="D213" xr:uid="{00000000-0002-0000-0F00-000008000000}">
      <formula1>0</formula1>
      <formula2>1</formula2>
    </dataValidation>
    <dataValidation type="custom" allowBlank="1" showInputMessage="1" showErrorMessage="1" error="Número inválido." prompt="Informar o Poder Calorífico Inferior (PCI) do biogás." sqref="G105 G185:G186" xr:uid="{00000000-0002-0000-0F00-000009000000}">
      <formula1>IF(AND(G105&lt;=50,G105&gt;=30,G105=ROUND(G105,2)),G105,"")</formula1>
    </dataValidation>
    <dataValidation type="decimal" allowBlank="1" showInputMessage="1" showErrorMessage="1" error="Número inválido." prompt="No campo BX, X representa o teor de mistura de biodiesel vigente no ano de referência para o preenchimento." sqref="G69" xr:uid="{00000000-0002-0000-0F00-00000A000000}">
      <formula1>0</formula1>
      <formula2>1</formula2>
    </dataValidation>
    <dataValidation type="decimal" allowBlank="1" showInputMessage="1" showErrorMessage="1" error="Número inválido. " sqref="G86" xr:uid="{00000000-0002-0000-0F00-00000B000000}">
      <formula1>0</formula1>
      <formula2>1</formula2>
    </dataValidation>
    <dataValidation type="decimal" allowBlank="1" showInputMessage="1" showErrorMessage="1" error="Número inválido." sqref="G99" xr:uid="{00000000-0002-0000-0F00-00000C000000}">
      <formula1>0</formula1>
      <formula2>1</formula2>
    </dataValidation>
    <dataValidation type="custom" allowBlank="1" showInputMessage="1" showErrorMessage="1" error="Número inválido._x000a_" prompt="Informar o Poder Calorífico Inferior (PCI) do biogás." sqref="G104" xr:uid="{00000000-0002-0000-0F00-00000D000000}">
      <formula1>IF(AND(G104&lt;=50,G104&gt;=30,G104=ROUND(G104,2)),G104,"")</formula1>
    </dataValidation>
    <dataValidation type="custom" allowBlank="1" showInputMessage="1" showErrorMessage="1" error="Número inválido. Podem ser preenchidos números com até duas casas decimais." sqref="G136:G137" xr:uid="{00000000-0002-0000-0F00-00000E000000}">
      <formula1>IF(AND(G136&gt;=0,G136=ROUND(G136,2)),G136,"")</formula1>
    </dataValidation>
    <dataValidation allowBlank="1" showInputMessage="1" showErrorMessage="1" prompt="Esses dados devem ser preenchido de acordo com o resultado obtido na planilha de cadastro de produtores de biomassa." sqref="B25:H25" xr:uid="{00000000-0002-0000-0F00-00000F000000}"/>
    <dataValidation type="custom" allowBlank="1" showInputMessage="1" showErrorMessage="1" error="Número inválido. Podem ser preenchidos números com até duas casas decimais." prompt="Refere-se à quantidade total de produto produzido na área total de produção, informada no campo &quot;Área total&quot;." sqref="D30" xr:uid="{00000000-0002-0000-0F00-000010000000}">
      <formula1>IF(AND(D30&gt;=0,D30=ROUND(D30,2)),D30,"")</formula1>
    </dataValidation>
    <dataValidation type="custom" allowBlank="1" showInputMessage="1" showErrorMessage="1" error="Número inválido. Podem ser preenchidos números com até duas casas decimais." prompt="Quantidade anual consumida de calcário calcítico na área total, dividida pelo valor informado no campo Produção Total." sqref="D34" xr:uid="{00000000-0002-0000-0F00-000011000000}">
      <formula1>IF(AND(D34&gt;=0,D34=ROUND(D34,2)),D34,"")</formula1>
    </dataValidation>
    <dataValidation type="custom" allowBlank="1" showInputMessage="1" showErrorMessage="1" error="Número inválido. Podem ser preenchidos números com até duas casas decimais." prompt="Refere-se à quantidade total anual de Calcário Dolomítico utilizado na área total (informada no campo &quot;Área total&quot;) dividido pela produção total de grãos (informada no campo &quot;Produção total (soja)&quot;). " sqref="D35" xr:uid="{00000000-0002-0000-0F00-000012000000}">
      <formula1>IF(AND(D35&gt;=0,D35=ROUND(D35,2)),D35,"")</formula1>
    </dataValidation>
    <dataValidation type="custom" allowBlank="1" showInputMessage="1" showErrorMessage="1" error="Número inválido. Podem ser preenchidos números com até duas casas decimais." prompt="Quantidade anual consumida de gesso na área total, dividida pelo valor informado no campo Produção Total." sqref="D36" xr:uid="{00000000-0002-0000-0F00-000013000000}">
      <formula1>IF(AND(D36&gt;=0,D36=ROUND(D36,2)),D36,"")</formula1>
    </dataValidation>
    <dataValidation type="custom" allowBlank="1" showInputMessage="1" showErrorMessage="1" error="Número inválido. Podem ser preenchidos números com até duas casas decimais." prompt="Quantidade anual consumida de sementes  na área total, dividida pelo valor informado no campo Produção Total." sqref="D39" xr:uid="{00000000-0002-0000-0F00-000014000000}">
      <formula1>IF(AND(D39&gt;=0,D39=ROUND(D39,2)),D39,"")</formula1>
    </dataValidation>
    <dataValidation type="custom" allowBlank="1" showInputMessage="1" showErrorMessage="1" error="Número inválido. Podem ser preenchidos números com até duas casas decimais." prompt="Quantidade anual consumida do elemento N por fonte na área total, dividida pelo valor informado no campo Produção Total." sqref="D42:D43 D45 D47:D51 D55" xr:uid="{00000000-0002-0000-0F00-000015000000}">
      <formula1>IF(AND(D42&gt;=0,D42=ROUND(D42,2)),D42,"")</formula1>
    </dataValidation>
    <dataValidation type="custom" allowBlank="1" showInputMessage="1" showErrorMessage="1" error="Número inválido. Podem ser preenchidos números com até duas casas decimais." prompt="Quantidade anual consumida de P₂O₅ por fonte na área total, dividida pelo valor informado no campo Produção Total." sqref="D44 D46 D52:D53 D56" xr:uid="{00000000-0002-0000-0F00-000016000000}">
      <formula1>IF(AND(D44&gt;=0,D44=ROUND(D44,2)),D44,"")</formula1>
    </dataValidation>
    <dataValidation type="custom" allowBlank="1" showInputMessage="1" showErrorMessage="1" error="Número inválido. Podem ser preenchidos números com até duas casas decimais." prompt="Quantidade anual consumida de K₂O por fonte na área total, dividida pelo valor informado no campo Produção Total." sqref="D54 D57" xr:uid="{00000000-0002-0000-0F00-000017000000}">
      <formula1>IF(AND(D54&gt;=0,D54=ROUND(D54,2)),D54,"")</formula1>
    </dataValidation>
    <dataValidation type="custom" allowBlank="1" showInputMessage="1" showErrorMessage="1" error="Número inválido. Podem ser preenchidos números com até duas casas decimais." prompt="Quantidade total anual do fertilizante especificado na coluna à esquerda utilizada na área total dividida pelo valor informado no campo Produção Total." sqref="D60:D64" xr:uid="{00000000-0002-0000-0F00-000018000000}">
      <formula1>IF(AND(D60&gt;=0,D60=ROUND(D60,2)),D60,"")</formula1>
    </dataValidation>
    <dataValidation type="custom" allowBlank="1" showInputMessage="1" showErrorMessage="1" error="Número inválido. Podem ser preenchidos números com até duas casas decimais." prompt="Informar a concentração de nitrogênio em cada fonte." sqref="G60:G64" xr:uid="{00000000-0002-0000-0F00-000019000000}">
      <formula1>IF(AND(G60&gt;=0,G60=ROUND(G60,2)),G60,"")</formula1>
    </dataValidation>
    <dataValidation type="custom" allowBlank="1" showInputMessage="1" showErrorMessage="1" error="Número inválido. Podem ser preenchidos números com até duas casas decimais." prompt="Quantidade total anual de combustíveis consumidos (soma do consumo nas operações agrícolas, transporte dos grãos do campo até o armazém, deslocamento de pessoas, etc.) na área total dividida pelo valor informado no campo Produção Total." sqref="D67:D76" xr:uid="{00000000-0002-0000-0F00-00001A000000}">
      <formula1>IF(AND(D67&gt;=0,D67=ROUND(D67,2)),D67,"")</formula1>
    </dataValidation>
    <dataValidation type="custom" allowBlank="1" showInputMessage="1" showErrorMessage="1" error="Número inválido. Podem ser preenchidos números com até duas casas decimais." prompt="Quantidade total anual de eletricidade consumida na área total dividida pelo valor informado no campo Produção Total" sqref="D77:D81" xr:uid="{00000000-0002-0000-0F00-00001B000000}">
      <formula1>IF(AND(D77&gt;=0,D77=ROUND(D77,2)),D77,"")</formula1>
    </dataValidation>
    <dataValidation type="custom" allowBlank="1" showInputMessage="1" showErrorMessage="1" error="Número inválido. Podem ser preenchidos números com até duas casas decimais." prompt="Refere-se a quantidade anual total de grãos de soja processados." sqref="D86" xr:uid="{00000000-0002-0000-0F00-00001C000000}">
      <formula1>IF(AND(D86&gt;=0,D86=ROUND(D86,2)),D86,"")</formula1>
    </dataValidation>
    <dataValidation type="custom" allowBlank="1" showInputMessage="1" showErrorMessage="1" error="Número inválido. Podem ser preenchidos números com até duas casas decimais." prompt="Refere-se à distância média ponderada percorrida para transportar a quantidade de grãos de soja reportada na célula &quot;Processamento efetivo&quot; do armazém até a unidade de esmagamento." sqref="D87" xr:uid="{00000000-0002-0000-0F00-00001D000000}">
      <formula1>IF(AND(D87&gt;=0,D87=ROUND(D87,2)),D87,"")</formula1>
    </dataValidation>
    <dataValidation type="custom" allowBlank="1" showInputMessage="1" showErrorMessage="1" error="Número inválido. Podem ser preenchidos números com até duas casas decimais." prompt="Refere-se à massa total de óleo produzido anualmente dividida pela quantidade total anual de grãos processada (informada no campo &quot;Processamento efetivo&quot;)." sqref="D88" xr:uid="{00000000-0002-0000-0F00-00001E000000}">
      <formula1>IF(AND(D88&gt;=0,D88=ROUND(D88,2)),D88,"")</formula1>
    </dataValidation>
    <dataValidation type="custom" allowBlank="1" showInputMessage="1" showErrorMessage="1" error="Número inválido. Podem ser preenchidos números com até duas casas decimais." prompt="Refere-se à massa total de farelo produzido anualmente dividida pela quantidade total anual de grãos processada (informada no campo &quot;Processamento efetivo&quot;)." sqref="D89" xr:uid="{00000000-0002-0000-0F00-00001F000000}">
      <formula1>IF(AND(D89&gt;=0,D89=ROUND(D89,2)),D89,"")</formula1>
    </dataValidation>
    <dataValidation type="custom" allowBlank="1" showInputMessage="1" showErrorMessage="1" error="Número inválido. Podem ser preenchidos números com até duas casas decimais." prompt="Quantidade total anual de eletricidade consumida dividida pelo valor informado no campo Processamento Efetivo - soja." sqref="D92:D96" xr:uid="{00000000-0002-0000-0F00-000020000000}">
      <formula1>IF(AND(D92&gt;=0,D92=ROUND(D92,2)),D92,"")</formula1>
    </dataValidation>
    <dataValidation type="custom" allowBlank="1" showInputMessage="1" showErrorMessage="1" error="Número inválido. Podem ser preenchidos números com até duas casas decimais." prompt="Quantidade total anual de combustíveis consumidos dividida pelo valor informado no campo Processamento Efetivo - soja." sqref="D97:D104 D106" xr:uid="{00000000-0002-0000-0F00-000021000000}">
      <formula1>IF(AND(D97&gt;=0,D97=ROUND(D97,2)),D97,"")</formula1>
    </dataValidation>
    <dataValidation type="custom" allowBlank="1" showInputMessage="1" showErrorMessage="1" error="Número inválido. Podem ser preenchidos números com até duas casas decimais." prompt="Quantidade total anual de combustíveis consumidos dividida pelo valor informado no campo Processamento Efetivo - soja. Biogás/biometano próprio refere-se aqueles produzidos usando resíduos disponíveis na mesma unidade de produção. " sqref="D105" xr:uid="{00000000-0002-0000-0F00-000022000000}">
      <formula1>IF(AND(D105&gt;=0,D105=ROUND(D105,2)),D105,"")</formula1>
    </dataValidation>
    <dataValidation type="custom" allowBlank="1" showInputMessage="1" showErrorMessage="1" error="Número inválido. Podem ser preenchidos números com até duas casas decimais." prompt="Refere-se à quantidade total anual de cavaco adquirido pela usina e utilizado para geração de vapor/eletricidade, dividido pela quantidade de grãos processada (informada no campo &quot;Processamento efetivo&quot;). Deve ser reportado em base úmida." sqref="D108" xr:uid="{00000000-0002-0000-0F00-000023000000}">
      <formula1>IF(AND(D108&gt;=0,D108=ROUND(D108,2)),D108,"")</formula1>
    </dataValidation>
    <dataValidation type="decimal" allowBlank="1" showInputMessage="1" showErrorMessage="1" error="Número inválido. " prompt="Teor de umidade:_x000a__x000a_Massa de água / Massa total" sqref="D109" xr:uid="{00000000-0002-0000-0F00-000024000000}">
      <formula1>0</formula1>
      <formula2>1</formula2>
    </dataValidation>
    <dataValidation type="custom" allowBlank="1" showInputMessage="1" showErrorMessage="1" error="Número inválido. Podem ser preenchidos números com até duas casas decimais." prompt="Distância média ponderada de transporte da palha do fornecedor até a usina." sqref="D207" xr:uid="{00000000-0002-0000-0F00-000025000000}">
      <formula1>IF(AND(D207&gt;=0,D207=ROUND(D207,2)),D207,"")</formula1>
    </dataValidation>
    <dataValidation type="custom" allowBlank="1" showInputMessage="1" showErrorMessage="1" error="Número inválido. Podem ser preenchidos números com até duas casas decimais." prompt="Refere-se à quantidade total anual de lenha adquirida pela usina e utilizada para geração de vapor/eletricidade, dividido pela quantidade de óleo processado (informada no campo &quot;Processamento efetivo&quot;). Deve ser reportado em base úmida." sqref="D112" xr:uid="{00000000-0002-0000-0F00-000026000000}">
      <formula1>IF(AND(D112&gt;=0,D112=ROUND(D112,2)),D112,"")</formula1>
    </dataValidation>
    <dataValidation type="custom" allowBlank="1" showInputMessage="1" showErrorMessage="1" error="Número inválido. Podem ser preenchidos números com até duas casas decimais." prompt="Refere-se à quantidade total anual de cavaco adquirido pela usina e utilizado para geração de vapor/eletricidade, dividido pela quantidade de óleo processado (informada no campo &quot;Processamento efetivo&quot;). Deve ser reportado em base úmida." sqref="D116" xr:uid="{00000000-0002-0000-0F00-000027000000}">
      <formula1>IF(AND(D116&gt;=0,D116=ROUND(D116,2)),D116,"")</formula1>
    </dataValidation>
    <dataValidation type="custom" allowBlank="1" showInputMessage="1" showErrorMessage="1" error="Número inválido. Podem ser preenchidos números com até duas casas decimais." prompt="Refere-se à quantidade total anual de resíduos florestais adquirido pela usina e utilizado para geração de vapor/eletricidade, dividido pela quantidade de óleo processado (informada no campo &quot;Processamento efetivo&quot;). Deve ser reportado em base úmida._x000a_" sqref="D120" xr:uid="{00000000-0002-0000-0F00-000028000000}">
      <formula1>IF(AND(D120&gt;=0,D120=ROUND(D120,2)),D120,"")</formula1>
    </dataValidation>
    <dataValidation type="custom" allowBlank="1" showInputMessage="1" showErrorMessage="1" error="Número inválido. Podem ser preenchidos números com até duas casas decimais." prompt="Distância média ponderada de transporte do bagaço do fornecedor até a usina" sqref="D122" xr:uid="{00000000-0002-0000-0F00-000029000000}">
      <formula1>IF(AND(D122&gt;=0,D122=ROUND(D122,2)),D122,"")</formula1>
    </dataValidation>
    <dataValidation type="custom" allowBlank="1" showInputMessage="1" showErrorMessage="1" error="Número inválido. Podem ser preenchidos números com até duas casas decimais." prompt="Refere-se à quantidade total anual de palha de cana adquirida pela usina e utilizada para geração de vapor/eletricidade, dividido pela quantidade de grãos processados (informada no campo &quot;Processamento efetivo&quot;). Deve ser reportado em base úmida." sqref="D124" xr:uid="{00000000-0002-0000-0F00-00002A000000}">
      <formula1>IF(AND(D124&gt;=0,D124=ROUND(D124,2)),D124,"")</formula1>
    </dataValidation>
    <dataValidation type="custom" allowBlank="1" showInputMessage="1" showErrorMessage="1" error="Número inválido. Podem ser preenchidos números com até duas casas decimais." prompt="Quantidade total anual de matéria-prima processada, discriminada por fonte. " sqref="D144 D140 D155 D148 D152" xr:uid="{00000000-0002-0000-0F00-00002B000000}">
      <formula1>IF(AND(D140&gt;=0,D140=ROUND(D140,2)),D140,"")</formula1>
    </dataValidation>
    <dataValidation type="custom" allowBlank="1" showInputMessage="1" showErrorMessage="1" error="Número inválido. Podem ser preenchidos números com até duas casas decimais." prompt="Distância média ponderada de transporte percorrida pela matéria-prima da unidade de extração até a unidade de produção de biodiesel." sqref="D159 D156 D133 D137 D141 D145 D153 D149" xr:uid="{00000000-0002-0000-0F00-00002C000000}">
      <formula1>IF(AND(D133&gt;=0,D133=ROUND(D133,2)),D133,"")</formula1>
    </dataValidation>
    <dataValidation type="custom" allowBlank="1" showInputMessage="1" showErrorMessage="1" error="Número inválido. Podem ser preenchidos números com até duas casas decimais." prompt="Volume total anual de óleo de soja adquirido pela unidade produtora de biodiesel. Valor calculado na Planilha de Fornecedores de Óleo." sqref="D136 D132" xr:uid="{00000000-0002-0000-0F00-00002D000000}">
      <formula1>IF(AND(D132&gt;=0,D132=ROUND(D132,2)),D132,"")</formula1>
    </dataValidation>
    <dataValidation type="custom" allowBlank="1" showInputMessage="1" showErrorMessage="1" error="Número inválido. Podem ser preenchidos números com até duas casas decimais." prompt="Refere-se ao volume total (corrigido para a temperatura de 20 °C) de biodiesel produzido anualmente." sqref="D163" xr:uid="{00000000-0002-0000-0F00-00002E000000}">
      <formula1>IF(AND(D163&gt;=0,D163=ROUND(D163,2)),D163,"")</formula1>
    </dataValidation>
    <dataValidation type="custom" allowBlank="1" showInputMessage="1" showErrorMessage="1" error="Número inválido. Podem ser preenchidos números com até duas casas decimais." prompt="Refere-se à massa total de glicerina purificada produzida anualmente." sqref="D164" xr:uid="{00000000-0002-0000-0F00-00002F000000}">
      <formula1>IF(AND(D164&gt;=0,D164=ROUND(D164,2)),D164,"")</formula1>
    </dataValidation>
    <dataValidation type="custom" allowBlank="1" showInputMessage="1" showErrorMessage="1" error="Número inválido. Podem ser preenchidos números com até duas casas decimais." prompt="Refere-se à massa total de glicerina bruta produzida anualmente." sqref="D165" xr:uid="{00000000-0002-0000-0F00-000030000000}">
      <formula1>IF(AND(D165&gt;=0,D165=ROUND(D165,2)),D165,"")</formula1>
    </dataValidation>
    <dataValidation type="custom" allowBlank="1" showInputMessage="1" showErrorMessage="1" error="Número inválido. Podem ser preenchidos números com até duas casas decimais." prompt="Refere-se à massa total de cada insumo industrial consumido anualmente." sqref="D168:D171" xr:uid="{00000000-0002-0000-0F00-000031000000}">
      <formula1>IF(AND(D168&gt;=0,D168=ROUND(D168,2)),D168,"")</formula1>
    </dataValidation>
    <dataValidation type="custom" allowBlank="1" showInputMessage="1" showErrorMessage="1" error="Número inválido. Podem ser preenchidos números com até duas casas decimais." prompt="Refere-se ao consumo total anual de eletricidade, por fonte para a produção de biodiesel, incluindo etapas de refino físico e químico para tratamento de matérias-primas." sqref="D173:D177" xr:uid="{00000000-0002-0000-0F00-000032000000}">
      <formula1>IF(AND(D173&gt;=0,D173=ROUND(D173,2)),D173,"")</formula1>
    </dataValidation>
    <dataValidation type="custom" allowBlank="1" showInputMessage="1" showErrorMessage="1" error="Número inválido. Podem ser preenchidos números com até duas casas decimais." prompt="Refere-se ao consumo total anual de combustíveis, por fonte." sqref="D178:D185 D187" xr:uid="{00000000-0002-0000-0F00-000033000000}">
      <formula1>IF(AND(D178&gt;=0,D178=ROUND(D178,2)),D178,"")</formula1>
    </dataValidation>
    <dataValidation type="custom" allowBlank="1" showInputMessage="1" showErrorMessage="1" error="Número inválido. Podem ser preenchidos números com até duas casas decimais." prompt="Refere-se ao consumo total anual de combustíveis, por fonte. Biogás próprio refere-se ao biogás produzido na mesma unidade de produção, usando residuos disponíveis nessa unidade." sqref="D186" xr:uid="{00000000-0002-0000-0F00-000034000000}">
      <formula1>IF(AND(D186&gt;=0,D186=ROUND(D186,2)),D186,"")</formula1>
    </dataValidation>
    <dataValidation type="custom" allowBlank="1" showInputMessage="1" showErrorMessage="1" error="Número inválido. Podem ser preenchidos números com até duas casas decimais." prompt="Refere-se à quantidade total anual de combustíveis sólidos, por fonte." sqref="D189 D193 D197 D201 D205" xr:uid="{00000000-0002-0000-0F00-000035000000}">
      <formula1>IF(AND(D189&gt;=0,D189=ROUND(D189,2)),D189,"")</formula1>
    </dataValidation>
    <dataValidation type="custom" allowBlank="1" showInputMessage="1" showErrorMessage="1" error="Número inválido. Podem ser preenchidos números com até duas casas decimais." prompt="Distância média ponderada de transporte do bagaço do fornecedor até a usina." sqref="D203" xr:uid="{00000000-0002-0000-0F00-000036000000}">
      <formula1>IF(AND(D203&gt;=0,D203=ROUND(D203,2)),D203,"")</formula1>
    </dataValidation>
    <dataValidation type="custom" allowBlank="1" showInputMessage="1" showErrorMessage="1" error="Número inválido. Podem ser preenchidos números com até duas casas decimais." prompt="Distância média ponderada de transporte do cavaco de madeira do fornecedor até a usina." sqref="D110" xr:uid="{00000000-0002-0000-0F00-000037000000}">
      <formula1>IF(AND(D110&gt;=0,D110=ROUND(D110,2)),D110,"")</formula1>
    </dataValidation>
    <dataValidation type="custom" allowBlank="1" showInputMessage="1" showErrorMessage="1" error="Número inválido. Podem ser preenchidos números com até duas casas decimais." prompt="Distância média ponderada de transporte da lenha do fornecedor até a usina." sqref="D114 D195" xr:uid="{00000000-0002-0000-0F00-000038000000}">
      <formula1>IF(AND(D114&gt;=0,D114=ROUND(D114,2)),D114,"")</formula1>
    </dataValidation>
    <dataValidation type="custom" allowBlank="1" showInputMessage="1" showErrorMessage="1" error="Número inválido. Podem ser preenchidos números com até duas casas decimais." prompt="Distância média ponderada de transporte dos resíduos florestais do fornecedor até a usina." sqref="D118 D199" xr:uid="{00000000-0002-0000-0F00-000039000000}">
      <formula1>IF(AND(D118&gt;=0,D118=ROUND(D118,2)),D118,"")</formula1>
    </dataValidation>
    <dataValidation type="custom" allowBlank="1" showInputMessage="1" showErrorMessage="1" error="Número inválido. Podem ser preenchidos números com até duas casas decimais." prompt="Distância média ponderada de transporte da palha até a usina." sqref="D126" xr:uid="{00000000-0002-0000-0F00-00003A000000}">
      <formula1>IF(AND(D126&gt;=0,D126=ROUND(D126,2)),D126,"")</formula1>
    </dataValidation>
    <dataValidation type="custom" allowBlank="1" showInputMessage="1" showErrorMessage="1" error="Número inválido. Podem ser preenchidos números com até duas casas decimais." prompt="Distância média ponderada de transporte do cavaco do fornecedor até a usina." sqref="D191" xr:uid="{00000000-0002-0000-0F00-00003B000000}">
      <formula1>IF(AND(D191&gt;=0,D191=ROUND(D191,2)),D191,"")</formula1>
    </dataValidation>
    <dataValidation type="list" allowBlank="1" showInputMessage="1" showErrorMessage="1" sqref="D134 D138 D142 D146 D150" xr:uid="{00000000-0002-0000-0F00-00003C000000}">
      <formula1>SN</formula1>
    </dataValidation>
    <dataValidation allowBlank="1" showErrorMessage="1" sqref="D31 G31" xr:uid="{00000000-0002-0000-0F00-00003D000000}"/>
  </dataValidations>
  <pageMargins left="0.511811024" right="0.511811024" top="0.78740157499999996" bottom="0.78740157499999996" header="0.31496062000000002" footer="0.31496062000000002"/>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41">
    <tabColor rgb="FFA8C615"/>
  </sheetPr>
  <dimension ref="A1:CX234"/>
  <sheetViews>
    <sheetView showGridLines="0" workbookViewId="0">
      <selection activeCell="D132" sqref="D132"/>
    </sheetView>
  </sheetViews>
  <sheetFormatPr defaultColWidth="9.140625" defaultRowHeight="15" x14ac:dyDescent="0.25"/>
  <cols>
    <col min="1" max="1" width="5.7109375" style="85" customWidth="1"/>
    <col min="2" max="2" width="50.7109375" style="85" customWidth="1"/>
    <col min="3" max="5" width="15.7109375" style="85" customWidth="1"/>
    <col min="6" max="6" width="21.5703125" style="85" bestFit="1" customWidth="1"/>
    <col min="7" max="7" width="2.7109375" style="85" customWidth="1"/>
    <col min="8" max="8" width="15.7109375" style="88" customWidth="1"/>
    <col min="9" max="9" width="22.7109375" style="85" customWidth="1"/>
    <col min="10" max="10" width="16.42578125" style="85" customWidth="1"/>
    <col min="11" max="11" width="30.5703125" style="85" customWidth="1"/>
    <col min="12" max="12" width="29.7109375" style="85" bestFit="1" customWidth="1"/>
    <col min="13" max="13" width="20.7109375" style="85" customWidth="1"/>
    <col min="14" max="14" width="20.85546875" style="85" customWidth="1"/>
    <col min="15" max="15" width="43.140625" style="85" customWidth="1"/>
    <col min="16" max="16" width="9.140625" style="85"/>
    <col min="17" max="17" width="30.140625" style="85" customWidth="1"/>
    <col min="18" max="75" width="9.140625" style="85"/>
    <col min="76" max="76" width="12.7109375" style="85" bestFit="1" customWidth="1"/>
    <col min="77" max="79" width="9.28515625" style="85" bestFit="1" customWidth="1"/>
    <col min="80" max="16384" width="9.140625" style="85"/>
  </cols>
  <sheetData>
    <row r="1" spans="1:10" ht="14.45" customHeight="1" x14ac:dyDescent="0.25">
      <c r="A1" s="315"/>
      <c r="B1" s="315"/>
      <c r="C1" s="315"/>
      <c r="D1" s="315"/>
      <c r="E1" s="315"/>
      <c r="F1" s="315"/>
      <c r="H1" s="85"/>
    </row>
    <row r="2" spans="1:10" ht="14.45" customHeight="1" x14ac:dyDescent="0.25">
      <c r="B2" s="741" t="s">
        <v>537</v>
      </c>
      <c r="C2" s="741"/>
      <c r="D2" s="741"/>
      <c r="E2" s="741"/>
      <c r="F2" s="741"/>
      <c r="G2" s="453"/>
    </row>
    <row r="3" spans="1:10" ht="14.45" customHeight="1" x14ac:dyDescent="0.25">
      <c r="B3" s="279"/>
      <c r="C3" s="739" t="s">
        <v>123</v>
      </c>
      <c r="D3" s="739"/>
      <c r="E3" s="279"/>
      <c r="F3" s="279"/>
      <c r="G3" s="231"/>
    </row>
    <row r="4" spans="1:10" ht="14.45" customHeight="1" x14ac:dyDescent="0.25">
      <c r="B4" s="307" t="s">
        <v>536</v>
      </c>
      <c r="C4" s="738" t="e">
        <f>H195+C9+C10</f>
        <v>#DIV/0!</v>
      </c>
      <c r="D4" s="738"/>
      <c r="E4" s="307"/>
      <c r="F4" s="307"/>
      <c r="G4" s="617"/>
    </row>
    <row r="5" spans="1:10" x14ac:dyDescent="0.25">
      <c r="B5" s="273" t="s">
        <v>930</v>
      </c>
      <c r="C5" s="237">
        <f>IF($D$77=0,0,(H136*(H72/H124)))</f>
        <v>0</v>
      </c>
      <c r="D5" s="548" t="e">
        <f>C5/$C$4</f>
        <v>#DIV/0!</v>
      </c>
      <c r="E5" s="237"/>
      <c r="F5" s="237"/>
      <c r="G5" s="618"/>
    </row>
    <row r="6" spans="1:10" x14ac:dyDescent="0.25">
      <c r="B6" s="273" t="s">
        <v>931</v>
      </c>
      <c r="C6" s="237" t="e">
        <f>H136-C5</f>
        <v>#DIV/0!</v>
      </c>
      <c r="D6" s="548" t="e">
        <f>C6/$C$4</f>
        <v>#DIV/0!</v>
      </c>
      <c r="E6" s="237"/>
      <c r="F6" s="237"/>
      <c r="G6" s="618"/>
      <c r="H6" s="328"/>
    </row>
    <row r="7" spans="1:10" x14ac:dyDescent="0.25">
      <c r="B7" s="273" t="s">
        <v>862</v>
      </c>
      <c r="C7" s="237" t="e">
        <f>H138+H140+H142+H144+H146+H148+H150</f>
        <v>#DIV/0!</v>
      </c>
      <c r="D7" s="548" t="e">
        <f>C7/$C$4</f>
        <v>#DIV/0!</v>
      </c>
      <c r="E7" s="237"/>
      <c r="F7" s="237"/>
      <c r="G7" s="618"/>
      <c r="H7" s="328"/>
    </row>
    <row r="8" spans="1:10" x14ac:dyDescent="0.25">
      <c r="B8" s="273" t="s">
        <v>863</v>
      </c>
      <c r="C8" s="237" t="e">
        <f>H195-C7-C6-C5</f>
        <v>#DIV/0!</v>
      </c>
      <c r="D8" s="548" t="e">
        <f t="shared" ref="D8:D9" si="0">C8/$C$4</f>
        <v>#DIV/0!</v>
      </c>
      <c r="E8" s="237"/>
      <c r="F8" s="237"/>
      <c r="G8" s="618"/>
      <c r="H8" s="328"/>
    </row>
    <row r="9" spans="1:10" x14ac:dyDescent="0.25">
      <c r="B9" s="273" t="s">
        <v>170</v>
      </c>
      <c r="C9" s="237" t="e">
        <f>$D$226</f>
        <v>#DIV/0!</v>
      </c>
      <c r="D9" s="548" t="e">
        <f t="shared" si="0"/>
        <v>#DIV/0!</v>
      </c>
      <c r="E9" s="237"/>
      <c r="F9" s="237"/>
      <c r="G9" s="618"/>
    </row>
    <row r="10" spans="1:10" x14ac:dyDescent="0.25">
      <c r="B10" s="273" t="s">
        <v>63</v>
      </c>
      <c r="C10" s="237">
        <f>'FE''s queima combustíveis'!$I$6</f>
        <v>0.439</v>
      </c>
      <c r="D10" s="548" t="e">
        <f>C10/$C$4</f>
        <v>#DIV/0!</v>
      </c>
      <c r="E10" s="237"/>
      <c r="F10" s="237"/>
      <c r="G10" s="618"/>
    </row>
    <row r="11" spans="1:10" x14ac:dyDescent="0.25">
      <c r="H11" s="339"/>
      <c r="I11" s="345"/>
      <c r="J11" s="319"/>
    </row>
    <row r="12" spans="1:10" x14ac:dyDescent="0.25">
      <c r="H12" s="339"/>
      <c r="I12" s="345"/>
      <c r="J12" s="319"/>
    </row>
    <row r="13" spans="1:10" ht="18.75" x14ac:dyDescent="0.25">
      <c r="B13" s="741" t="s">
        <v>548</v>
      </c>
      <c r="C13" s="741"/>
      <c r="D13" s="741"/>
      <c r="E13" s="741"/>
      <c r="F13" s="741"/>
      <c r="G13" s="453"/>
      <c r="H13" s="740" t="s">
        <v>938</v>
      </c>
      <c r="J13" s="319"/>
    </row>
    <row r="14" spans="1:10" ht="18" x14ac:dyDescent="0.25">
      <c r="B14" s="279" t="s">
        <v>510</v>
      </c>
      <c r="C14" s="546"/>
      <c r="D14" s="546" t="s">
        <v>51</v>
      </c>
      <c r="E14" s="546" t="s">
        <v>549</v>
      </c>
      <c r="F14" s="546"/>
      <c r="G14" s="583"/>
      <c r="H14" s="740"/>
      <c r="I14" s="345"/>
      <c r="J14" s="319"/>
    </row>
    <row r="15" spans="1:10" x14ac:dyDescent="0.25">
      <c r="B15" s="273" t="s">
        <v>611</v>
      </c>
      <c r="C15" s="273" t="s">
        <v>1</v>
      </c>
      <c r="D15" s="247" t="e">
        <f>(Biodiesel!D30*1000)/Biodiesel!D28</f>
        <v>#DIV/0!</v>
      </c>
      <c r="E15" s="232">
        <v>1000</v>
      </c>
      <c r="F15" s="233"/>
      <c r="G15" s="586"/>
      <c r="H15" s="740"/>
      <c r="I15" s="345"/>
      <c r="J15" s="319"/>
    </row>
    <row r="16" spans="1:10" ht="18" x14ac:dyDescent="0.25">
      <c r="B16" s="281" t="s">
        <v>511</v>
      </c>
      <c r="C16" s="546"/>
      <c r="D16" s="546" t="s">
        <v>51</v>
      </c>
      <c r="E16" s="546" t="s">
        <v>549</v>
      </c>
      <c r="F16" s="283" t="s">
        <v>550</v>
      </c>
      <c r="G16" s="272"/>
      <c r="H16" s="740"/>
      <c r="I16" s="345"/>
      <c r="J16" s="319"/>
    </row>
    <row r="17" spans="2:10" x14ac:dyDescent="0.25">
      <c r="B17" s="273" t="s">
        <v>413</v>
      </c>
      <c r="C17" s="273" t="s">
        <v>36</v>
      </c>
      <c r="D17" s="232">
        <v>1</v>
      </c>
      <c r="E17" s="235" t="e">
        <f>(D17*E15)/D15</f>
        <v>#DIV/0!</v>
      </c>
      <c r="F17" s="236"/>
      <c r="G17" s="588"/>
      <c r="H17" s="740"/>
      <c r="I17" s="345"/>
      <c r="J17" s="319"/>
    </row>
    <row r="18" spans="2:10" ht="18" x14ac:dyDescent="0.25">
      <c r="B18" s="281" t="s">
        <v>60</v>
      </c>
      <c r="C18" s="546"/>
      <c r="D18" s="546" t="s">
        <v>51</v>
      </c>
      <c r="E18" s="546" t="s">
        <v>549</v>
      </c>
      <c r="F18" s="283" t="s">
        <v>550</v>
      </c>
      <c r="G18" s="272"/>
      <c r="H18" s="283" t="s">
        <v>535</v>
      </c>
      <c r="I18" s="345"/>
      <c r="J18" s="319"/>
    </row>
    <row r="19" spans="2:10" x14ac:dyDescent="0.25">
      <c r="B19" s="273" t="s">
        <v>110</v>
      </c>
      <c r="C19" s="273" t="s">
        <v>1</v>
      </c>
      <c r="D19" s="232"/>
      <c r="E19" s="237">
        <f>Biodiesel!D39</f>
        <v>0</v>
      </c>
      <c r="F19" s="238">
        <f>E19*'Dados auxiliares'!$H$76</f>
        <v>0</v>
      </c>
      <c r="G19" s="590"/>
      <c r="H19" s="550" t="e">
        <f>(((F19*$F$77)/$D$77)*1000*$F$131)/$E$131</f>
        <v>#DIV/0!</v>
      </c>
      <c r="I19" s="345"/>
      <c r="J19" s="319"/>
    </row>
    <row r="20" spans="2:10" x14ac:dyDescent="0.25">
      <c r="B20" s="284" t="s">
        <v>419</v>
      </c>
      <c r="C20" s="285"/>
      <c r="D20" s="285"/>
      <c r="E20" s="286"/>
      <c r="F20" s="287"/>
      <c r="G20" s="589"/>
      <c r="H20" s="287"/>
      <c r="I20" s="345"/>
      <c r="J20" s="319"/>
    </row>
    <row r="21" spans="2:10" x14ac:dyDescent="0.25">
      <c r="B21" s="273" t="s">
        <v>164</v>
      </c>
      <c r="C21" s="273" t="s">
        <v>1</v>
      </c>
      <c r="D21" s="232"/>
      <c r="E21" s="237">
        <f>Biodiesel!D34</f>
        <v>0</v>
      </c>
      <c r="F21" s="238">
        <f>E21*'Dados auxiliares'!$H$52</f>
        <v>0</v>
      </c>
      <c r="G21" s="590"/>
      <c r="H21" s="550" t="e">
        <f t="shared" ref="H21:H39" si="1">(((F21*$F$77)/$D$77)*1000*$F$131)/$E$131</f>
        <v>#DIV/0!</v>
      </c>
      <c r="I21" s="345"/>
      <c r="J21" s="319"/>
    </row>
    <row r="22" spans="2:10" x14ac:dyDescent="0.25">
      <c r="B22" s="273" t="s">
        <v>163</v>
      </c>
      <c r="C22" s="273" t="s">
        <v>1</v>
      </c>
      <c r="D22" s="232"/>
      <c r="E22" s="237">
        <f>Biodiesel!D35</f>
        <v>0</v>
      </c>
      <c r="F22" s="238">
        <f>E22*'Dados auxiliares'!$H$53</f>
        <v>0</v>
      </c>
      <c r="G22" s="590"/>
      <c r="H22" s="550" t="e">
        <f t="shared" si="1"/>
        <v>#DIV/0!</v>
      </c>
      <c r="I22" s="345"/>
      <c r="J22" s="319"/>
    </row>
    <row r="23" spans="2:10" x14ac:dyDescent="0.25">
      <c r="B23" s="273" t="s">
        <v>28</v>
      </c>
      <c r="C23" s="273" t="s">
        <v>1</v>
      </c>
      <c r="D23" s="232"/>
      <c r="E23" s="237">
        <f>Biodiesel!D36</f>
        <v>0</v>
      </c>
      <c r="F23" s="238">
        <f>E23*'Dados auxiliares'!$H$54</f>
        <v>0</v>
      </c>
      <c r="G23" s="590"/>
      <c r="H23" s="550" t="e">
        <f t="shared" si="1"/>
        <v>#DIV/0!</v>
      </c>
      <c r="I23" s="345"/>
      <c r="J23" s="319"/>
    </row>
    <row r="24" spans="2:10" x14ac:dyDescent="0.25">
      <c r="B24" s="273" t="s">
        <v>393</v>
      </c>
      <c r="C24" s="273" t="s">
        <v>409</v>
      </c>
      <c r="D24" s="232"/>
      <c r="E24" s="237">
        <f>Biodiesel!D42</f>
        <v>0</v>
      </c>
      <c r="F24" s="238">
        <f>E24*'Dados auxiliares'!$H$55</f>
        <v>0</v>
      </c>
      <c r="G24" s="590"/>
      <c r="H24" s="550" t="e">
        <f t="shared" si="1"/>
        <v>#DIV/0!</v>
      </c>
      <c r="I24" s="345"/>
      <c r="J24" s="319"/>
    </row>
    <row r="25" spans="2:10" x14ac:dyDescent="0.25">
      <c r="B25" s="273" t="s">
        <v>551</v>
      </c>
      <c r="C25" s="273" t="s">
        <v>409</v>
      </c>
      <c r="D25" s="232"/>
      <c r="E25" s="237">
        <f>Biodiesel!D43</f>
        <v>0</v>
      </c>
      <c r="F25" s="238">
        <f>E25*'Dados auxiliares'!$H$56</f>
        <v>0</v>
      </c>
      <c r="G25" s="590"/>
      <c r="H25" s="550" t="e">
        <f t="shared" si="1"/>
        <v>#DIV/0!</v>
      </c>
      <c r="I25" s="345"/>
      <c r="J25" s="319"/>
    </row>
    <row r="26" spans="2:10" x14ac:dyDescent="0.25">
      <c r="B26" s="273" t="s">
        <v>558</v>
      </c>
      <c r="C26" s="273" t="s">
        <v>410</v>
      </c>
      <c r="D26" s="232"/>
      <c r="E26" s="237">
        <f>Biodiesel!D44</f>
        <v>0</v>
      </c>
      <c r="F26" s="238">
        <f>E26*'Dados auxiliares'!$H$57</f>
        <v>0</v>
      </c>
      <c r="G26" s="590"/>
      <c r="H26" s="550" t="e">
        <f t="shared" si="1"/>
        <v>#DIV/0!</v>
      </c>
      <c r="I26" s="345"/>
      <c r="J26" s="319"/>
    </row>
    <row r="27" spans="2:10" x14ac:dyDescent="0.25">
      <c r="B27" s="273" t="s">
        <v>553</v>
      </c>
      <c r="C27" s="273" t="s">
        <v>409</v>
      </c>
      <c r="D27" s="232"/>
      <c r="E27" s="237">
        <f>Biodiesel!D45</f>
        <v>0</v>
      </c>
      <c r="F27" s="238">
        <f>E27*'Dados auxiliares'!$H$58</f>
        <v>0</v>
      </c>
      <c r="G27" s="590"/>
      <c r="H27" s="550" t="e">
        <f t="shared" si="1"/>
        <v>#DIV/0!</v>
      </c>
      <c r="I27" s="345"/>
      <c r="J27" s="319"/>
    </row>
    <row r="28" spans="2:10" x14ac:dyDescent="0.25">
      <c r="B28" s="273" t="s">
        <v>559</v>
      </c>
      <c r="C28" s="273" t="s">
        <v>410</v>
      </c>
      <c r="D28" s="232"/>
      <c r="E28" s="237">
        <f>Biodiesel!D46</f>
        <v>0</v>
      </c>
      <c r="F28" s="238">
        <f>E28*'Dados auxiliares'!$H$59</f>
        <v>0</v>
      </c>
      <c r="G28" s="590"/>
      <c r="H28" s="550" t="e">
        <f t="shared" si="1"/>
        <v>#DIV/0!</v>
      </c>
      <c r="I28" s="345"/>
      <c r="J28" s="319"/>
    </row>
    <row r="29" spans="2:10" x14ac:dyDescent="0.25">
      <c r="B29" s="273" t="s">
        <v>554</v>
      </c>
      <c r="C29" s="273" t="s">
        <v>409</v>
      </c>
      <c r="D29" s="232"/>
      <c r="E29" s="237">
        <f>Biodiesel!D47</f>
        <v>0</v>
      </c>
      <c r="F29" s="238">
        <f>E29*'Dados auxiliares'!$H$60</f>
        <v>0</v>
      </c>
      <c r="G29" s="590"/>
      <c r="H29" s="550" t="e">
        <f t="shared" si="1"/>
        <v>#DIV/0!</v>
      </c>
      <c r="I29" s="345"/>
      <c r="J29" s="319"/>
    </row>
    <row r="30" spans="2:10" x14ac:dyDescent="0.25">
      <c r="B30" s="273" t="s">
        <v>555</v>
      </c>
      <c r="C30" s="273" t="s">
        <v>409</v>
      </c>
      <c r="D30" s="232"/>
      <c r="E30" s="237">
        <f>Biodiesel!D48</f>
        <v>0</v>
      </c>
      <c r="F30" s="238">
        <f>E30*'Dados auxiliares'!$H$61</f>
        <v>0</v>
      </c>
      <c r="G30" s="590"/>
      <c r="H30" s="550" t="e">
        <f t="shared" si="1"/>
        <v>#DIV/0!</v>
      </c>
      <c r="I30" s="345"/>
      <c r="J30" s="319"/>
    </row>
    <row r="31" spans="2:10" x14ac:dyDescent="0.25">
      <c r="B31" s="273" t="s">
        <v>399</v>
      </c>
      <c r="C31" s="273" t="s">
        <v>409</v>
      </c>
      <c r="D31" s="232"/>
      <c r="E31" s="237">
        <f>Biodiesel!D49</f>
        <v>0</v>
      </c>
      <c r="F31" s="238">
        <f>E31*'Dados auxiliares'!$H$62</f>
        <v>0</v>
      </c>
      <c r="G31" s="590"/>
      <c r="H31" s="550" t="e">
        <f t="shared" si="1"/>
        <v>#DIV/0!</v>
      </c>
      <c r="I31" s="345"/>
      <c r="J31" s="319"/>
    </row>
    <row r="32" spans="2:10" x14ac:dyDescent="0.25">
      <c r="B32" s="273" t="s">
        <v>556</v>
      </c>
      <c r="C32" s="273" t="s">
        <v>409</v>
      </c>
      <c r="D32" s="232"/>
      <c r="E32" s="237">
        <f>Biodiesel!D50</f>
        <v>0</v>
      </c>
      <c r="F32" s="238">
        <f>E32*'Dados auxiliares'!$H$63</f>
        <v>0</v>
      </c>
      <c r="G32" s="590"/>
      <c r="H32" s="550" t="e">
        <f t="shared" si="1"/>
        <v>#DIV/0!</v>
      </c>
      <c r="I32" s="345"/>
      <c r="J32" s="319"/>
    </row>
    <row r="33" spans="2:10" x14ac:dyDescent="0.25">
      <c r="B33" s="273" t="s">
        <v>557</v>
      </c>
      <c r="C33" s="273" t="s">
        <v>409</v>
      </c>
      <c r="D33" s="232"/>
      <c r="E33" s="237">
        <f>Biodiesel!D51</f>
        <v>0</v>
      </c>
      <c r="F33" s="238">
        <f>E33*'Dados auxiliares'!$H$64</f>
        <v>0</v>
      </c>
      <c r="G33" s="590"/>
      <c r="H33" s="550" t="e">
        <f t="shared" si="1"/>
        <v>#DIV/0!</v>
      </c>
      <c r="I33" s="345"/>
      <c r="J33" s="319"/>
    </row>
    <row r="34" spans="2:10" x14ac:dyDescent="0.25">
      <c r="B34" s="273" t="s">
        <v>560</v>
      </c>
      <c r="C34" s="273" t="s">
        <v>410</v>
      </c>
      <c r="D34" s="241"/>
      <c r="E34" s="237">
        <f>Biodiesel!D52</f>
        <v>0</v>
      </c>
      <c r="F34" s="242">
        <f>E34*'Dados auxiliares'!$H$66</f>
        <v>0</v>
      </c>
      <c r="G34" s="591"/>
      <c r="H34" s="550" t="e">
        <f t="shared" si="1"/>
        <v>#DIV/0!</v>
      </c>
      <c r="I34" s="345"/>
      <c r="J34" s="319"/>
    </row>
    <row r="35" spans="2:10" x14ac:dyDescent="0.25">
      <c r="B35" s="273" t="s">
        <v>561</v>
      </c>
      <c r="C35" s="273" t="s">
        <v>410</v>
      </c>
      <c r="D35" s="241"/>
      <c r="E35" s="237">
        <f>Biodiesel!D53</f>
        <v>0</v>
      </c>
      <c r="F35" s="242">
        <f>E35*'Dados auxiliares'!$H$67</f>
        <v>0</v>
      </c>
      <c r="G35" s="591"/>
      <c r="H35" s="550" t="e">
        <f t="shared" si="1"/>
        <v>#DIV/0!</v>
      </c>
      <c r="I35" s="345"/>
      <c r="J35" s="319"/>
    </row>
    <row r="36" spans="2:10" x14ac:dyDescent="0.25">
      <c r="B36" s="273" t="s">
        <v>562</v>
      </c>
      <c r="C36" s="273" t="s">
        <v>411</v>
      </c>
      <c r="D36" s="232"/>
      <c r="E36" s="237">
        <f>Biodiesel!D54</f>
        <v>0</v>
      </c>
      <c r="F36" s="238">
        <f>E36*'Dados auxiliares'!H$68</f>
        <v>0</v>
      </c>
      <c r="G36" s="590"/>
      <c r="H36" s="550" t="e">
        <f t="shared" si="1"/>
        <v>#DIV/0!</v>
      </c>
      <c r="I36" s="345"/>
      <c r="J36" s="319"/>
    </row>
    <row r="37" spans="2:10" x14ac:dyDescent="0.25">
      <c r="B37" s="273" t="s">
        <v>256</v>
      </c>
      <c r="C37" s="273" t="s">
        <v>409</v>
      </c>
      <c r="D37" s="232"/>
      <c r="E37" s="237">
        <f>Biodiesel!D55</f>
        <v>0</v>
      </c>
      <c r="F37" s="238">
        <f>E37*'Dados auxiliares'!H$69</f>
        <v>0</v>
      </c>
      <c r="G37" s="590"/>
      <c r="H37" s="550" t="e">
        <f t="shared" si="1"/>
        <v>#DIV/0!</v>
      </c>
      <c r="I37" s="345"/>
      <c r="J37" s="319"/>
    </row>
    <row r="38" spans="2:10" x14ac:dyDescent="0.25">
      <c r="B38" s="273" t="s">
        <v>404</v>
      </c>
      <c r="C38" s="273" t="s">
        <v>410</v>
      </c>
      <c r="D38" s="241"/>
      <c r="E38" s="237">
        <f>Biodiesel!D56</f>
        <v>0</v>
      </c>
      <c r="F38" s="238">
        <f>E38*'Dados auxiliares'!H$70</f>
        <v>0</v>
      </c>
      <c r="G38" s="590"/>
      <c r="H38" s="550" t="e">
        <f t="shared" si="1"/>
        <v>#DIV/0!</v>
      </c>
      <c r="I38" s="345"/>
      <c r="J38" s="319"/>
    </row>
    <row r="39" spans="2:10" x14ac:dyDescent="0.25">
      <c r="B39" s="273" t="s">
        <v>405</v>
      </c>
      <c r="C39" s="273" t="s">
        <v>411</v>
      </c>
      <c r="D39" s="232"/>
      <c r="E39" s="237">
        <f>Biodiesel!D57</f>
        <v>0</v>
      </c>
      <c r="F39" s="238">
        <f>E39*'Dados auxiliares'!H$71</f>
        <v>0</v>
      </c>
      <c r="G39" s="590"/>
      <c r="H39" s="550" t="e">
        <f t="shared" si="1"/>
        <v>#DIV/0!</v>
      </c>
      <c r="I39" s="345"/>
      <c r="J39" s="319"/>
    </row>
    <row r="40" spans="2:10" x14ac:dyDescent="0.25">
      <c r="B40" s="273" t="s">
        <v>406</v>
      </c>
      <c r="C40" s="273" t="s">
        <v>1</v>
      </c>
      <c r="D40" s="232"/>
      <c r="E40" s="237">
        <f>Biodiesel!D60+Biodiesel!D61+Biodiesel!D62+Biodiesel!D63+Biodiesel!D64</f>
        <v>0</v>
      </c>
      <c r="F40" s="314">
        <v>0</v>
      </c>
      <c r="G40" s="614"/>
      <c r="H40" s="550"/>
      <c r="I40" s="345"/>
      <c r="J40" s="319"/>
    </row>
    <row r="41" spans="2:10" x14ac:dyDescent="0.25">
      <c r="B41" s="284" t="s">
        <v>340</v>
      </c>
      <c r="C41" s="285"/>
      <c r="D41" s="285"/>
      <c r="E41" s="288"/>
      <c r="F41" s="289"/>
      <c r="G41" s="593"/>
      <c r="H41" s="289"/>
      <c r="I41" s="345"/>
      <c r="J41" s="319"/>
    </row>
    <row r="42" spans="2:10" x14ac:dyDescent="0.25">
      <c r="B42" s="273" t="s">
        <v>33</v>
      </c>
      <c r="C42" s="273" t="s">
        <v>1</v>
      </c>
      <c r="D42" s="232"/>
      <c r="E42" s="259">
        <f>0.000674630945913558*1000</f>
        <v>0.6746309459135581</v>
      </c>
      <c r="F42" s="238">
        <f>E42*'Dados auxiliares'!$H$74</f>
        <v>7247.2373648256971</v>
      </c>
      <c r="G42" s="590"/>
      <c r="H42" s="550" t="e">
        <f>(((F42*$F$77)/$D$77)*1000*$F$131)/$E$131</f>
        <v>#DIV/0!</v>
      </c>
      <c r="I42" s="345"/>
      <c r="J42" s="319"/>
    </row>
    <row r="43" spans="2:10" x14ac:dyDescent="0.25">
      <c r="B43" s="273" t="s">
        <v>53</v>
      </c>
      <c r="C43" s="273" t="s">
        <v>1</v>
      </c>
      <c r="D43" s="241"/>
      <c r="E43" s="259">
        <f>0.00086569230646321*1000</f>
        <v>0.86569230646321005</v>
      </c>
      <c r="F43" s="238">
        <f>E43*'Dados auxiliares'!$H$72</f>
        <v>9960.4016469307826</v>
      </c>
      <c r="G43" s="590"/>
      <c r="H43" s="550" t="e">
        <f>(((F43*$F$77)/$D$77)*1000*$F$131)/$E$131</f>
        <v>#DIV/0!</v>
      </c>
      <c r="I43" s="340"/>
      <c r="J43" s="340"/>
    </row>
    <row r="44" spans="2:10" x14ac:dyDescent="0.25">
      <c r="B44" s="273" t="s">
        <v>563</v>
      </c>
      <c r="C44" s="273" t="s">
        <v>1</v>
      </c>
      <c r="D44" s="232"/>
      <c r="E44" s="259">
        <f>0.0000652020791723256*1000</f>
        <v>6.5202079172325594E-2</v>
      </c>
      <c r="F44" s="238">
        <f>E44*'Dados auxiliares'!$H$73</f>
        <v>331.3355298709476</v>
      </c>
      <c r="G44" s="590"/>
      <c r="H44" s="550" t="e">
        <f>(((F44*$F$77)/$D$77)*1000*$F$131)/$E$131</f>
        <v>#DIV/0!</v>
      </c>
      <c r="I44" s="340"/>
      <c r="J44" s="340"/>
    </row>
    <row r="45" spans="2:10" x14ac:dyDescent="0.25">
      <c r="B45" s="284" t="s">
        <v>243</v>
      </c>
      <c r="C45" s="285"/>
      <c r="D45" s="285"/>
      <c r="E45" s="288"/>
      <c r="F45" s="289"/>
      <c r="G45" s="593"/>
      <c r="H45" s="289"/>
      <c r="I45" s="340"/>
      <c r="J45" s="340"/>
    </row>
    <row r="46" spans="2:10" ht="15.75" customHeight="1" x14ac:dyDescent="0.25">
      <c r="B46" s="273" t="s">
        <v>309</v>
      </c>
      <c r="C46" s="273" t="s">
        <v>1</v>
      </c>
      <c r="D46" s="232"/>
      <c r="E46" s="237">
        <f>(Biodiesel!D67*(1-0.08)+Biodiesel!$D$68*(1-0.1)+Biodiesel!$D$69*(1-Biodiesel!$G$69)+Biodiesel!$D$70*(1-0.2)+Biodiesel!$D$71*(1-0.3)+Biodiesel!$D$72*(1-1))*('Dados auxiliares'!$D$26)</f>
        <v>0</v>
      </c>
      <c r="F46" s="238">
        <f>E46*'Dados auxiliares'!$H$116</f>
        <v>0</v>
      </c>
      <c r="G46" s="590"/>
      <c r="H46" s="550" t="e">
        <f t="shared" ref="H46:H56" si="2">(((F46*$F$77)/$D$77)*1000*$F$131)/$E$131</f>
        <v>#DIV/0!</v>
      </c>
      <c r="I46" s="340"/>
      <c r="J46" s="340"/>
    </row>
    <row r="47" spans="2:10" ht="15.75" customHeight="1" x14ac:dyDescent="0.25">
      <c r="B47" s="273" t="s">
        <v>187</v>
      </c>
      <c r="C47" s="273" t="s">
        <v>1</v>
      </c>
      <c r="D47" s="232"/>
      <c r="E47" s="237">
        <f>(Biodiesel!D67*(0.08)+Biodiesel!$D$68*(0.1)+Biodiesel!$D$69*(Biodiesel!$G$69)+Biodiesel!$D$70*(0.2)+Biodiesel!$D$71*(0.3)+Biodiesel!$D$72*(1))*('Dados auxiliares'!$D$17)</f>
        <v>0</v>
      </c>
      <c r="F47" s="238">
        <f>E47*'Dados auxiliares'!$H$117</f>
        <v>0</v>
      </c>
      <c r="G47" s="590"/>
      <c r="H47" s="550" t="e">
        <f t="shared" si="2"/>
        <v>#DIV/0!</v>
      </c>
      <c r="I47" s="340"/>
      <c r="J47" s="340"/>
    </row>
    <row r="48" spans="2:10" ht="15.75" customHeight="1" x14ac:dyDescent="0.25">
      <c r="B48" s="273" t="s">
        <v>188</v>
      </c>
      <c r="C48" s="273" t="s">
        <v>1</v>
      </c>
      <c r="D48" s="232"/>
      <c r="E48" s="237">
        <f>Biodiesel!$D$73*(1-'FE''s queima combustíveis'!$D$19)*'Dados auxiliares'!$D$24</f>
        <v>0</v>
      </c>
      <c r="F48" s="238">
        <f>E48*'Dados auxiliares'!$H$120</f>
        <v>0</v>
      </c>
      <c r="G48" s="590"/>
      <c r="H48" s="550" t="e">
        <f t="shared" si="2"/>
        <v>#DIV/0!</v>
      </c>
      <c r="I48" s="340"/>
      <c r="J48" s="340"/>
    </row>
    <row r="49" spans="2:10" ht="15.75" customHeight="1" x14ac:dyDescent="0.25">
      <c r="B49" s="273" t="s">
        <v>45</v>
      </c>
      <c r="C49" s="273" t="s">
        <v>1</v>
      </c>
      <c r="D49" s="232"/>
      <c r="E49" s="237">
        <f>Biodiesel!$D$73*('FE''s queima combustíveis'!$D$19)*'Dados auxiliares'!$D$15</f>
        <v>0</v>
      </c>
      <c r="F49" s="238">
        <f>E49*'Dados auxiliares'!$H$121</f>
        <v>0</v>
      </c>
      <c r="G49" s="590"/>
      <c r="H49" s="550" t="e">
        <f t="shared" si="2"/>
        <v>#DIV/0!</v>
      </c>
      <c r="I49" s="340"/>
      <c r="J49" s="340"/>
    </row>
    <row r="50" spans="2:10" ht="15.75" customHeight="1" x14ac:dyDescent="0.25">
      <c r="B50" s="273" t="s">
        <v>46</v>
      </c>
      <c r="C50" s="273" t="s">
        <v>1</v>
      </c>
      <c r="D50" s="232"/>
      <c r="E50" s="237">
        <f>Biodiesel!$D$74*'Dados auxiliares'!$D$16</f>
        <v>0</v>
      </c>
      <c r="F50" s="238">
        <f>E50*'Dados auxiliares'!$H$122</f>
        <v>0</v>
      </c>
      <c r="G50" s="590"/>
      <c r="H50" s="550" t="e">
        <f t="shared" si="2"/>
        <v>#DIV/0!</v>
      </c>
      <c r="I50" s="340"/>
      <c r="J50" s="340"/>
    </row>
    <row r="51" spans="2:10" ht="15.75" customHeight="1" x14ac:dyDescent="0.25">
      <c r="B51" s="273" t="s">
        <v>468</v>
      </c>
      <c r="C51" s="273" t="s">
        <v>169</v>
      </c>
      <c r="D51" s="232"/>
      <c r="E51" s="237">
        <f>Biodiesel!D75</f>
        <v>0</v>
      </c>
      <c r="F51" s="238">
        <f>E51*('Dados auxiliares'!$D$18*1000)*'Dados auxiliares'!$F$18*'Dados auxiliares'!$H$125</f>
        <v>0</v>
      </c>
      <c r="G51" s="590"/>
      <c r="H51" s="550" t="e">
        <f t="shared" si="2"/>
        <v>#DIV/0!</v>
      </c>
      <c r="I51" s="340"/>
      <c r="J51" s="340"/>
    </row>
    <row r="52" spans="2:10" ht="15.75" customHeight="1" x14ac:dyDescent="0.25">
      <c r="B52" s="273" t="s">
        <v>376</v>
      </c>
      <c r="C52" s="273" t="s">
        <v>57</v>
      </c>
      <c r="D52" s="232"/>
      <c r="E52" s="237">
        <f>Biodiesel!D77</f>
        <v>0</v>
      </c>
      <c r="F52" s="238">
        <f>E52*'Dados auxiliares'!$H$107</f>
        <v>0</v>
      </c>
      <c r="G52" s="590"/>
      <c r="H52" s="550" t="e">
        <f t="shared" si="2"/>
        <v>#DIV/0!</v>
      </c>
      <c r="I52" s="340"/>
      <c r="J52" s="340"/>
    </row>
    <row r="53" spans="2:10" ht="15.75" customHeight="1" x14ac:dyDescent="0.25">
      <c r="B53" s="273" t="s">
        <v>375</v>
      </c>
      <c r="C53" s="273" t="s">
        <v>57</v>
      </c>
      <c r="D53" s="232"/>
      <c r="E53" s="237">
        <f>Biodiesel!D78</f>
        <v>0</v>
      </c>
      <c r="F53" s="238">
        <f>E53*'Dados auxiliares'!$H$108</f>
        <v>0</v>
      </c>
      <c r="G53" s="590"/>
      <c r="H53" s="550" t="e">
        <f t="shared" si="2"/>
        <v>#DIV/0!</v>
      </c>
      <c r="I53" s="340"/>
      <c r="J53" s="340"/>
    </row>
    <row r="54" spans="2:10" ht="15.75" customHeight="1" x14ac:dyDescent="0.25">
      <c r="B54" s="273" t="s">
        <v>372</v>
      </c>
      <c r="C54" s="273" t="s">
        <v>57</v>
      </c>
      <c r="D54" s="232"/>
      <c r="E54" s="237">
        <f>Biodiesel!D79</f>
        <v>0</v>
      </c>
      <c r="F54" s="238">
        <f>E54*'Dados auxiliares'!$H$109</f>
        <v>0</v>
      </c>
      <c r="G54" s="590"/>
      <c r="H54" s="550" t="e">
        <f t="shared" si="2"/>
        <v>#DIV/0!</v>
      </c>
      <c r="I54" s="340"/>
      <c r="J54" s="340"/>
    </row>
    <row r="55" spans="2:10" ht="15.75" customHeight="1" x14ac:dyDescent="0.25">
      <c r="B55" s="273" t="s">
        <v>373</v>
      </c>
      <c r="C55" s="273" t="s">
        <v>57</v>
      </c>
      <c r="D55" s="232"/>
      <c r="E55" s="237">
        <f>Biodiesel!D80</f>
        <v>0</v>
      </c>
      <c r="F55" s="238">
        <f>E55*'Dados auxiliares'!$H$110</f>
        <v>0</v>
      </c>
      <c r="G55" s="590"/>
      <c r="H55" s="550" t="e">
        <f t="shared" si="2"/>
        <v>#DIV/0!</v>
      </c>
      <c r="I55" s="340"/>
      <c r="J55" s="340"/>
    </row>
    <row r="56" spans="2:10" ht="15.75" customHeight="1" x14ac:dyDescent="0.25">
      <c r="B56" s="273" t="s">
        <v>374</v>
      </c>
      <c r="C56" s="273" t="s">
        <v>57</v>
      </c>
      <c r="D56" s="232"/>
      <c r="E56" s="237">
        <f>Biodiesel!D81</f>
        <v>0</v>
      </c>
      <c r="F56" s="238">
        <f>E56*'Dados auxiliares'!$H$111</f>
        <v>0</v>
      </c>
      <c r="G56" s="590"/>
      <c r="H56" s="550" t="e">
        <f t="shared" si="2"/>
        <v>#DIV/0!</v>
      </c>
      <c r="I56" s="340"/>
      <c r="J56" s="340"/>
    </row>
    <row r="57" spans="2:10" ht="18" x14ac:dyDescent="0.25">
      <c r="B57" s="281" t="s">
        <v>52</v>
      </c>
      <c r="C57" s="546"/>
      <c r="D57" s="546" t="s">
        <v>51</v>
      </c>
      <c r="E57" s="546" t="s">
        <v>549</v>
      </c>
      <c r="F57" s="283" t="s">
        <v>550</v>
      </c>
      <c r="G57" s="272"/>
      <c r="H57" s="283" t="s">
        <v>535</v>
      </c>
      <c r="I57" s="340"/>
      <c r="J57" s="340"/>
    </row>
    <row r="58" spans="2:10" ht="18" x14ac:dyDescent="0.25">
      <c r="B58" s="273" t="s">
        <v>567</v>
      </c>
      <c r="C58" s="273" t="s">
        <v>1</v>
      </c>
      <c r="D58" s="237" t="e">
        <f>'_Emissões Agrícolas'!$J$54</f>
        <v>#DIV/0!</v>
      </c>
      <c r="E58" s="237" t="e">
        <f>D58*$E$17</f>
        <v>#DIV/0!</v>
      </c>
      <c r="F58" s="238" t="e">
        <f>E58*1000*'Dados auxiliares'!$D$9</f>
        <v>#DIV/0!</v>
      </c>
      <c r="G58" s="590"/>
      <c r="H58" s="550" t="e">
        <f t="shared" ref="H58:H68" si="3">(((F58*$F$77)/$D$77)*1000*$F$131)/$E$131</f>
        <v>#DIV/0!</v>
      </c>
      <c r="I58" s="340"/>
      <c r="J58" s="340"/>
    </row>
    <row r="59" spans="2:10" ht="18" x14ac:dyDescent="0.25">
      <c r="B59" s="273" t="s">
        <v>568</v>
      </c>
      <c r="C59" s="273" t="s">
        <v>1</v>
      </c>
      <c r="D59" s="237" t="e">
        <f>'_Emissões Agrícolas'!$J$58</f>
        <v>#DIV/0!</v>
      </c>
      <c r="E59" s="237" t="e">
        <f t="shared" ref="E59:E60" si="4">D59*$E$17</f>
        <v>#DIV/0!</v>
      </c>
      <c r="F59" s="238" t="e">
        <f>E59*1000*'Dados auxiliares'!$D$9</f>
        <v>#DIV/0!</v>
      </c>
      <c r="G59" s="590"/>
      <c r="H59" s="550" t="e">
        <f t="shared" si="3"/>
        <v>#DIV/0!</v>
      </c>
      <c r="I59" s="340"/>
      <c r="J59" s="340"/>
    </row>
    <row r="60" spans="2:10" ht="18" x14ac:dyDescent="0.25">
      <c r="B60" s="273" t="s">
        <v>569</v>
      </c>
      <c r="C60" s="273" t="s">
        <v>1</v>
      </c>
      <c r="D60" s="237" t="e">
        <f>'_Emissões Agrícolas'!$J$62</f>
        <v>#DIV/0!</v>
      </c>
      <c r="E60" s="237" t="e">
        <f t="shared" si="4"/>
        <v>#DIV/0!</v>
      </c>
      <c r="F60" s="238" t="e">
        <f>E60*1000*'Dados auxiliares'!$D$9</f>
        <v>#DIV/0!</v>
      </c>
      <c r="G60" s="590"/>
      <c r="H60" s="550" t="e">
        <f t="shared" si="3"/>
        <v>#DIV/0!</v>
      </c>
      <c r="I60" s="340"/>
      <c r="J60" s="340"/>
    </row>
    <row r="61" spans="2:10" ht="18" x14ac:dyDescent="0.25">
      <c r="B61" s="273" t="s">
        <v>438</v>
      </c>
      <c r="C61" s="273" t="s">
        <v>1</v>
      </c>
      <c r="D61" s="237"/>
      <c r="E61" s="237">
        <f>$E$21*'_Emissões Agrícolas'!$E$79+$E$22*'_Emissões Agrícolas'!$E$80</f>
        <v>0</v>
      </c>
      <c r="F61" s="238">
        <f>E61*1000</f>
        <v>0</v>
      </c>
      <c r="G61" s="590"/>
      <c r="H61" s="550" t="e">
        <f t="shared" si="3"/>
        <v>#DIV/0!</v>
      </c>
      <c r="I61" s="340"/>
      <c r="J61" s="340"/>
    </row>
    <row r="62" spans="2:10" ht="18" x14ac:dyDescent="0.25">
      <c r="B62" s="273" t="s">
        <v>439</v>
      </c>
      <c r="C62" s="273" t="s">
        <v>1</v>
      </c>
      <c r="D62" s="237"/>
      <c r="E62" s="237">
        <f>$E$24*'_Emissões Agrícolas'!$E$81</f>
        <v>0</v>
      </c>
      <c r="F62" s="238">
        <f>E62*1000</f>
        <v>0</v>
      </c>
      <c r="G62" s="590"/>
      <c r="H62" s="550" t="e">
        <f t="shared" si="3"/>
        <v>#DIV/0!</v>
      </c>
      <c r="I62" s="340"/>
      <c r="J62" s="340"/>
    </row>
    <row r="63" spans="2:10" x14ac:dyDescent="0.25">
      <c r="B63" s="273" t="s">
        <v>437</v>
      </c>
      <c r="C63" s="273" t="s">
        <v>1</v>
      </c>
      <c r="D63" s="237"/>
      <c r="E63" s="237">
        <f>$E$46*'FE''s queima combustíveis'!$I$64/1000</f>
        <v>0</v>
      </c>
      <c r="F63" s="238">
        <f>E63*1000</f>
        <v>0</v>
      </c>
      <c r="G63" s="590"/>
      <c r="H63" s="550" t="e">
        <f t="shared" si="3"/>
        <v>#DIV/0!</v>
      </c>
      <c r="I63" s="340"/>
      <c r="J63" s="340"/>
    </row>
    <row r="64" spans="2:10" x14ac:dyDescent="0.25">
      <c r="B64" s="273" t="s">
        <v>443</v>
      </c>
      <c r="C64" s="273" t="s">
        <v>1</v>
      </c>
      <c r="D64" s="237"/>
      <c r="E64" s="237">
        <f>$E$47*'FE''s queima combustíveis'!$I$65/1000</f>
        <v>0</v>
      </c>
      <c r="F64" s="238">
        <f t="shared" ref="F64:F68" si="5">E64*1000</f>
        <v>0</v>
      </c>
      <c r="G64" s="590"/>
      <c r="H64" s="550" t="e">
        <f t="shared" si="3"/>
        <v>#DIV/0!</v>
      </c>
      <c r="I64" s="340"/>
      <c r="J64" s="340"/>
    </row>
    <row r="65" spans="2:102" x14ac:dyDescent="0.25">
      <c r="B65" s="273" t="s">
        <v>492</v>
      </c>
      <c r="C65" s="273" t="s">
        <v>1</v>
      </c>
      <c r="D65" s="237"/>
      <c r="E65" s="237">
        <f>$E$48*'FE''s queima combustíveis'!$I$9/1000</f>
        <v>0</v>
      </c>
      <c r="F65" s="238">
        <f t="shared" si="5"/>
        <v>0</v>
      </c>
      <c r="G65" s="590"/>
      <c r="H65" s="550" t="e">
        <f t="shared" si="3"/>
        <v>#DIV/0!</v>
      </c>
      <c r="I65" s="340"/>
      <c r="J65" s="340"/>
    </row>
    <row r="66" spans="2:102" x14ac:dyDescent="0.25">
      <c r="B66" s="273" t="s">
        <v>493</v>
      </c>
      <c r="C66" s="273" t="s">
        <v>1</v>
      </c>
      <c r="D66" s="237"/>
      <c r="E66" s="237">
        <f>$E$49*'FE''s queima combustíveis'!$I$7/1000</f>
        <v>0</v>
      </c>
      <c r="F66" s="238">
        <f t="shared" si="5"/>
        <v>0</v>
      </c>
      <c r="G66" s="590"/>
      <c r="H66" s="550" t="e">
        <f t="shared" si="3"/>
        <v>#DIV/0!</v>
      </c>
      <c r="I66" s="340"/>
      <c r="J66" s="340"/>
    </row>
    <row r="67" spans="2:102" x14ac:dyDescent="0.25">
      <c r="B67" s="273" t="s">
        <v>494</v>
      </c>
      <c r="C67" s="273" t="s">
        <v>1</v>
      </c>
      <c r="D67" s="237"/>
      <c r="E67" s="237">
        <f>$E$50*'FE''s queima combustíveis'!$I$8/1000</f>
        <v>0</v>
      </c>
      <c r="F67" s="238">
        <f t="shared" si="5"/>
        <v>0</v>
      </c>
      <c r="G67" s="590"/>
      <c r="H67" s="550" t="e">
        <f t="shared" si="3"/>
        <v>#DIV/0!</v>
      </c>
      <c r="I67" s="340"/>
      <c r="J67" s="340"/>
    </row>
    <row r="68" spans="2:102" x14ac:dyDescent="0.25">
      <c r="B68" s="273" t="s">
        <v>444</v>
      </c>
      <c r="C68" s="273" t="s">
        <v>1</v>
      </c>
      <c r="D68" s="237"/>
      <c r="E68" s="237">
        <f>($E$51+Biodiesel!$D$76)*'FE''s queima combustíveis'!$I$66/1000</f>
        <v>0</v>
      </c>
      <c r="F68" s="238">
        <f t="shared" si="5"/>
        <v>0</v>
      </c>
      <c r="G68" s="590"/>
      <c r="H68" s="550" t="e">
        <f t="shared" si="3"/>
        <v>#DIV/0!</v>
      </c>
      <c r="I68" s="340"/>
      <c r="J68" s="340"/>
    </row>
    <row r="69" spans="2:102" ht="6" customHeight="1" x14ac:dyDescent="0.25">
      <c r="B69" s="316"/>
      <c r="C69" s="317"/>
      <c r="D69" s="317"/>
      <c r="E69" s="318"/>
      <c r="F69" s="317"/>
      <c r="G69" s="317"/>
      <c r="H69" s="341"/>
      <c r="I69" s="328"/>
      <c r="J69" s="317"/>
    </row>
    <row r="70" spans="2:102" ht="18" x14ac:dyDescent="0.25">
      <c r="B70" s="276" t="s">
        <v>54</v>
      </c>
      <c r="C70" s="274" t="s">
        <v>547</v>
      </c>
      <c r="D70" s="274"/>
      <c r="E70" s="275"/>
      <c r="F70" s="290" t="e">
        <f>SUM(F58:F68)</f>
        <v>#DIV/0!</v>
      </c>
      <c r="G70" s="597"/>
      <c r="H70" s="290" t="e">
        <f>(((F70*$F$77)/$D$77)*1000*$F$131)/$E$131</f>
        <v>#DIV/0!</v>
      </c>
      <c r="I70" s="328"/>
      <c r="J70" s="317"/>
    </row>
    <row r="71" spans="2:102" ht="18" x14ac:dyDescent="0.25">
      <c r="B71" s="276" t="s">
        <v>61</v>
      </c>
      <c r="C71" s="274" t="s">
        <v>547</v>
      </c>
      <c r="D71" s="274"/>
      <c r="E71" s="275"/>
      <c r="F71" s="290">
        <f>SUM(F19:F56)</f>
        <v>17538.974541627427</v>
      </c>
      <c r="G71" s="597"/>
      <c r="H71" s="290" t="e">
        <f>(((F71*$F$77)/$D$77)*1000*$F$131)/$E$131</f>
        <v>#DIV/0!</v>
      </c>
      <c r="I71" s="328"/>
      <c r="J71" s="317"/>
    </row>
    <row r="72" spans="2:102" ht="18" x14ac:dyDescent="0.25">
      <c r="B72" s="276" t="s">
        <v>55</v>
      </c>
      <c r="C72" s="274" t="s">
        <v>547</v>
      </c>
      <c r="D72" s="274"/>
      <c r="E72" s="275"/>
      <c r="F72" s="290">
        <f>IF(OR(Biodiesel!$D$28=0,Biodiesel!$D$30=0),0,(F70+F71))</f>
        <v>0</v>
      </c>
      <c r="G72" s="597"/>
      <c r="H72" s="290">
        <f>IF(D77=0,0,(((F72*$F$77)/$D$77)*1000*$F$131)/$E$131)</f>
        <v>0</v>
      </c>
      <c r="I72" s="328"/>
      <c r="J72" s="317"/>
    </row>
    <row r="73" spans="2:102" x14ac:dyDescent="0.25">
      <c r="H73" s="85"/>
      <c r="I73" s="317"/>
    </row>
    <row r="74" spans="2:102" x14ac:dyDescent="0.25">
      <c r="H74" s="85"/>
      <c r="I74" s="317"/>
    </row>
    <row r="75" spans="2:102" ht="18.75" x14ac:dyDescent="0.25">
      <c r="B75" s="737" t="s">
        <v>570</v>
      </c>
      <c r="C75" s="737"/>
      <c r="D75" s="737"/>
      <c r="E75" s="737"/>
      <c r="F75" s="737"/>
      <c r="G75" s="453"/>
      <c r="H75" s="740" t="s">
        <v>938</v>
      </c>
      <c r="I75" s="317"/>
    </row>
    <row r="76" spans="2:102" ht="18" x14ac:dyDescent="0.25">
      <c r="B76" s="279" t="s">
        <v>495</v>
      </c>
      <c r="C76" s="546" t="s">
        <v>0</v>
      </c>
      <c r="D76" s="546" t="s">
        <v>549</v>
      </c>
      <c r="E76" s="546" t="s">
        <v>29</v>
      </c>
      <c r="F76" s="546" t="s">
        <v>330</v>
      </c>
      <c r="G76" s="583"/>
      <c r="H76" s="740"/>
      <c r="I76" s="328"/>
      <c r="J76" s="317"/>
    </row>
    <row r="77" spans="2:102" x14ac:dyDescent="0.25">
      <c r="B77" s="273" t="s">
        <v>50</v>
      </c>
      <c r="C77" s="273" t="s">
        <v>1</v>
      </c>
      <c r="D77" s="294">
        <f>Biodiesel!D88</f>
        <v>0</v>
      </c>
      <c r="E77" s="294">
        <f>D77*'Dados auxiliares'!$D$42</f>
        <v>0</v>
      </c>
      <c r="F77" s="258" t="e">
        <f>E77/SUM($E$77:$E$78)</f>
        <v>#DIV/0!</v>
      </c>
      <c r="G77" s="585"/>
      <c r="H77" s="740"/>
      <c r="J77" s="88"/>
    </row>
    <row r="78" spans="2:102" x14ac:dyDescent="0.25">
      <c r="B78" s="273" t="s">
        <v>116</v>
      </c>
      <c r="C78" s="273" t="s">
        <v>1</v>
      </c>
      <c r="D78" s="294">
        <f>Biodiesel!D89</f>
        <v>0</v>
      </c>
      <c r="E78" s="294">
        <f>D78*'Dados auxiliares'!$D$43</f>
        <v>0</v>
      </c>
      <c r="F78" s="258" t="e">
        <f>E78/SUM($E$77:$E$78)</f>
        <v>#DIV/0!</v>
      </c>
      <c r="G78" s="585"/>
      <c r="H78" s="740"/>
      <c r="J78" s="88"/>
    </row>
    <row r="79" spans="2:102" ht="18" x14ac:dyDescent="0.25">
      <c r="B79" s="281" t="s">
        <v>58</v>
      </c>
      <c r="C79" s="546" t="s">
        <v>0</v>
      </c>
      <c r="D79" s="546" t="s">
        <v>549</v>
      </c>
      <c r="E79" s="282"/>
      <c r="F79" s="283" t="s">
        <v>550</v>
      </c>
      <c r="G79" s="272"/>
      <c r="H79" s="283" t="s">
        <v>535</v>
      </c>
      <c r="J79" s="88"/>
      <c r="BZ79" s="320" t="e">
        <f>(D77+D78)*F77</f>
        <v>#DIV/0!</v>
      </c>
      <c r="CA79" s="327"/>
      <c r="CB79" s="327"/>
      <c r="CC79" s="327"/>
      <c r="CD79" s="327"/>
      <c r="CE79" s="327"/>
      <c r="CF79" s="327"/>
      <c r="CG79" s="327"/>
      <c r="CH79" s="327"/>
      <c r="CI79" s="327"/>
      <c r="CJ79" s="327"/>
      <c r="CK79" s="327"/>
      <c r="CL79" s="327"/>
      <c r="CM79" s="327"/>
      <c r="CN79" s="327"/>
      <c r="CO79" s="327"/>
      <c r="CP79" s="327"/>
      <c r="CQ79" s="327"/>
      <c r="CR79" s="327"/>
      <c r="CS79" s="327"/>
      <c r="CT79" s="327"/>
      <c r="CU79" s="327"/>
      <c r="CV79" s="327"/>
      <c r="CW79" s="327"/>
      <c r="CX79" s="327"/>
    </row>
    <row r="80" spans="2:102" x14ac:dyDescent="0.25">
      <c r="B80" s="284" t="s">
        <v>182</v>
      </c>
      <c r="C80" s="285"/>
      <c r="D80" s="285"/>
      <c r="E80" s="288"/>
      <c r="F80" s="289"/>
      <c r="G80" s="593"/>
      <c r="H80" s="289"/>
      <c r="I80" s="340"/>
      <c r="J80" s="340"/>
    </row>
    <row r="81" spans="2:102" x14ac:dyDescent="0.25">
      <c r="B81" s="273" t="s">
        <v>579</v>
      </c>
      <c r="C81" s="273" t="s">
        <v>42</v>
      </c>
      <c r="D81" s="334">
        <f>0.00004878*0.6</f>
        <v>2.9267999999999998E-5</v>
      </c>
      <c r="E81" s="259"/>
      <c r="F81" s="278">
        <f>D81*'Dados auxiliares'!$H$81</f>
        <v>9.3980387991599993E-7</v>
      </c>
      <c r="G81" s="598"/>
      <c r="H81" s="550" t="e">
        <f>(((F81*$F$77)/$D$77)*1000*$F$131)/$E$131</f>
        <v>#DIV/0!</v>
      </c>
      <c r="I81" s="340"/>
      <c r="J81" s="340"/>
    </row>
    <row r="82" spans="2:102" x14ac:dyDescent="0.25">
      <c r="B82" s="273" t="s">
        <v>156</v>
      </c>
      <c r="C82" s="273" t="s">
        <v>42</v>
      </c>
      <c r="D82" s="334">
        <f>0.00004878*0.4</f>
        <v>1.9511999999999999E-5</v>
      </c>
      <c r="E82" s="259"/>
      <c r="F82" s="278">
        <f>D82*'Dados auxiliares'!$H$80</f>
        <v>3.0850690514400005E-7</v>
      </c>
      <c r="G82" s="598"/>
      <c r="H82" s="550" t="e">
        <f>(((F82*$F$77)/$D$77)*1000*$F$131)/$E$131</f>
        <v>#DIV/0!</v>
      </c>
      <c r="I82" s="340"/>
      <c r="J82" s="340"/>
    </row>
    <row r="83" spans="2:102" x14ac:dyDescent="0.25">
      <c r="B83" s="284" t="s">
        <v>455</v>
      </c>
      <c r="C83" s="285"/>
      <c r="D83" s="285"/>
      <c r="E83" s="288"/>
      <c r="F83" s="289"/>
      <c r="G83" s="593"/>
      <c r="H83" s="289"/>
      <c r="I83" s="340"/>
      <c r="J83" s="340"/>
    </row>
    <row r="84" spans="2:102" x14ac:dyDescent="0.25">
      <c r="B84" s="273" t="s">
        <v>571</v>
      </c>
      <c r="C84" s="273" t="s">
        <v>138</v>
      </c>
      <c r="D84" s="308">
        <v>1</v>
      </c>
      <c r="E84" s="259"/>
      <c r="F84" s="294">
        <f>D84*F72</f>
        <v>0</v>
      </c>
      <c r="G84" s="595"/>
      <c r="H84" s="550" t="e">
        <f>(((F84*$F$77)/$D$77)*1000*$F$131)/$E$131</f>
        <v>#DIV/0!</v>
      </c>
      <c r="J84" s="88"/>
      <c r="BZ84" s="346" t="e">
        <f>BZ79*F126</f>
        <v>#DIV/0!</v>
      </c>
      <c r="CA84" s="327" t="e">
        <f>(BZ79*CB159)/1000</f>
        <v>#DIV/0!</v>
      </c>
      <c r="CB84" s="327"/>
      <c r="CC84" s="327"/>
      <c r="CD84" s="327"/>
      <c r="CE84" s="327"/>
      <c r="CF84" s="327"/>
      <c r="CG84" s="327"/>
      <c r="CH84" s="327"/>
      <c r="CI84" s="327"/>
      <c r="CJ84" s="327"/>
      <c r="CK84" s="327"/>
      <c r="CL84" s="327"/>
      <c r="CM84" s="327"/>
      <c r="CN84" s="327"/>
      <c r="CO84" s="327"/>
      <c r="CP84" s="327"/>
      <c r="CQ84" s="327"/>
      <c r="CR84" s="327"/>
      <c r="CS84" s="327"/>
      <c r="CT84" s="327"/>
      <c r="CU84" s="327"/>
      <c r="CV84" s="327"/>
      <c r="CW84" s="327"/>
      <c r="CX84" s="327"/>
    </row>
    <row r="85" spans="2:102" x14ac:dyDescent="0.25">
      <c r="B85" s="273" t="s">
        <v>574</v>
      </c>
      <c r="C85" s="273" t="s">
        <v>47</v>
      </c>
      <c r="D85" s="237">
        <f>D84*Biodiesel!D87</f>
        <v>0</v>
      </c>
      <c r="E85" s="259"/>
      <c r="F85" s="294">
        <f>D85*'Dados auxiliares'!$H$131</f>
        <v>0</v>
      </c>
      <c r="G85" s="595"/>
      <c r="H85" s="550" t="e">
        <f>(((F85*$F$77)/$D$77)*1000*$F$131)/$E$131</f>
        <v>#DIV/0!</v>
      </c>
      <c r="J85" s="88"/>
      <c r="BZ85" s="346"/>
      <c r="CA85" s="327"/>
      <c r="CB85" s="327"/>
      <c r="CC85" s="327"/>
      <c r="CD85" s="327"/>
      <c r="CE85" s="327"/>
      <c r="CF85" s="327"/>
      <c r="CG85" s="327"/>
      <c r="CH85" s="327"/>
      <c r="CI85" s="327"/>
      <c r="CJ85" s="327"/>
      <c r="CK85" s="327"/>
      <c r="CL85" s="327"/>
      <c r="CM85" s="327"/>
      <c r="CN85" s="327"/>
      <c r="CO85" s="327"/>
      <c r="CP85" s="327"/>
      <c r="CQ85" s="327"/>
      <c r="CR85" s="327"/>
      <c r="CS85" s="327"/>
      <c r="CT85" s="327"/>
      <c r="CU85" s="327"/>
      <c r="CV85" s="327"/>
      <c r="CW85" s="327"/>
      <c r="CX85" s="327"/>
    </row>
    <row r="86" spans="2:102" x14ac:dyDescent="0.25">
      <c r="B86" s="273" t="s">
        <v>111</v>
      </c>
      <c r="C86" s="273" t="s">
        <v>1</v>
      </c>
      <c r="D86" s="277">
        <v>1.1000000000000001</v>
      </c>
      <c r="E86" s="259"/>
      <c r="F86" s="278">
        <f>D86*'Dados auxiliares'!$H$100</f>
        <v>339.58162909820237</v>
      </c>
      <c r="G86" s="598"/>
      <c r="H86" s="550" t="e">
        <f>(((F86*$F$77)/$D$77)*1000*$F$131)/$E$131</f>
        <v>#DIV/0!</v>
      </c>
      <c r="J86" s="88"/>
      <c r="BZ86" s="323"/>
      <c r="CA86" s="157"/>
      <c r="CB86" s="327"/>
      <c r="CC86" s="327"/>
      <c r="CD86" s="327"/>
      <c r="CE86" s="327"/>
      <c r="CF86" s="327"/>
      <c r="CG86" s="327"/>
      <c r="CH86" s="327"/>
      <c r="CI86" s="327"/>
      <c r="CJ86" s="327"/>
      <c r="CK86" s="327"/>
      <c r="CL86" s="327"/>
      <c r="CM86" s="327"/>
      <c r="CN86" s="327"/>
      <c r="CO86" s="327"/>
      <c r="CP86" s="327"/>
      <c r="CQ86" s="327"/>
      <c r="CR86" s="327"/>
      <c r="CS86" s="327"/>
      <c r="CT86" s="327"/>
      <c r="CU86" s="327"/>
      <c r="CV86" s="327"/>
      <c r="CW86" s="327"/>
      <c r="CX86" s="327"/>
    </row>
    <row r="87" spans="2:102" x14ac:dyDescent="0.25">
      <c r="B87" s="273" t="s">
        <v>20</v>
      </c>
      <c r="C87" s="273" t="s">
        <v>1</v>
      </c>
      <c r="D87" s="277">
        <f>(2.34*992.3224568)/5.17</f>
        <v>449.13627638529982</v>
      </c>
      <c r="E87" s="259"/>
      <c r="F87" s="278">
        <f>D87*'Dados auxiliares'!H83</f>
        <v>3.9531054548047617</v>
      </c>
      <c r="G87" s="598"/>
      <c r="H87" s="550" t="e">
        <f>(((F87*$F$77)/$D$77)*1000*$F$131)/$E$131</f>
        <v>#DIV/0!</v>
      </c>
      <c r="J87" s="88"/>
      <c r="BZ87" s="327"/>
      <c r="CA87" s="327"/>
      <c r="CB87" s="327"/>
      <c r="CC87" s="327"/>
      <c r="CD87" s="327"/>
      <c r="CE87" s="327"/>
      <c r="CF87" s="327"/>
      <c r="CG87" s="327"/>
      <c r="CH87" s="327"/>
      <c r="CI87" s="327"/>
      <c r="CJ87" s="327"/>
      <c r="CK87" s="327"/>
      <c r="CL87" s="327"/>
      <c r="CM87" s="327"/>
      <c r="CN87" s="327"/>
      <c r="CO87" s="327"/>
      <c r="CP87" s="327"/>
      <c r="CQ87" s="327"/>
      <c r="CR87" s="327"/>
      <c r="CS87" s="327"/>
      <c r="CT87" s="327"/>
      <c r="CU87" s="327"/>
      <c r="CV87" s="327"/>
      <c r="CW87" s="327"/>
      <c r="CX87" s="327"/>
    </row>
    <row r="88" spans="2:102" x14ac:dyDescent="0.25">
      <c r="B88" s="284" t="s">
        <v>243</v>
      </c>
      <c r="C88" s="285"/>
      <c r="D88" s="285"/>
      <c r="E88" s="288"/>
      <c r="F88" s="289"/>
      <c r="G88" s="593"/>
      <c r="H88" s="289"/>
      <c r="J88" s="88"/>
      <c r="BZ88" s="327"/>
      <c r="CA88" s="327"/>
      <c r="CB88" s="327"/>
      <c r="CC88" s="327"/>
      <c r="CD88" s="327"/>
      <c r="CE88" s="327"/>
      <c r="CF88" s="327"/>
      <c r="CG88" s="327"/>
      <c r="CH88" s="327"/>
      <c r="CI88" s="327"/>
      <c r="CJ88" s="327"/>
      <c r="CK88" s="327"/>
      <c r="CL88" s="327"/>
      <c r="CM88" s="327"/>
      <c r="CN88" s="327"/>
      <c r="CO88" s="327"/>
      <c r="CP88" s="327"/>
      <c r="CQ88" s="327"/>
      <c r="CR88" s="327"/>
      <c r="CS88" s="327"/>
      <c r="CT88" s="327"/>
      <c r="CU88" s="327"/>
      <c r="CV88" s="327"/>
      <c r="CW88" s="327"/>
      <c r="CX88" s="327"/>
    </row>
    <row r="89" spans="2:102" x14ac:dyDescent="0.25">
      <c r="B89" s="273" t="s">
        <v>376</v>
      </c>
      <c r="C89" s="273" t="s">
        <v>57</v>
      </c>
      <c r="D89" s="237">
        <f>Biodiesel!D92</f>
        <v>0</v>
      </c>
      <c r="E89" s="237"/>
      <c r="F89" s="238">
        <f>D89*'Dados auxiliares'!$H$107</f>
        <v>0</v>
      </c>
      <c r="G89" s="590"/>
      <c r="H89" s="550" t="e">
        <f t="shared" ref="H89:H108" si="6">(((F89*$F$77)/$D$77)*1000*$F$131)/$E$131</f>
        <v>#DIV/0!</v>
      </c>
      <c r="J89" s="88"/>
      <c r="BZ89" s="327"/>
      <c r="CA89" s="327"/>
      <c r="CB89" s="327"/>
      <c r="CC89" s="327"/>
      <c r="CD89" s="327"/>
      <c r="CE89" s="327"/>
      <c r="CF89" s="327"/>
      <c r="CG89" s="327"/>
      <c r="CH89" s="327"/>
      <c r="CI89" s="327"/>
      <c r="CJ89" s="327"/>
      <c r="CK89" s="327"/>
      <c r="CL89" s="327"/>
      <c r="CM89" s="327"/>
      <c r="CN89" s="327"/>
      <c r="CO89" s="327"/>
      <c r="CP89" s="327"/>
      <c r="CQ89" s="327"/>
      <c r="CR89" s="327"/>
      <c r="CS89" s="327"/>
      <c r="CT89" s="327"/>
      <c r="CU89" s="327"/>
      <c r="CV89" s="327"/>
      <c r="CW89" s="327"/>
      <c r="CX89" s="327"/>
    </row>
    <row r="90" spans="2:102" x14ac:dyDescent="0.25">
      <c r="B90" s="273" t="s">
        <v>375</v>
      </c>
      <c r="C90" s="273" t="s">
        <v>57</v>
      </c>
      <c r="D90" s="237">
        <f>Biodiesel!D93</f>
        <v>0</v>
      </c>
      <c r="E90" s="237"/>
      <c r="F90" s="238">
        <f>D90*'Dados auxiliares'!$H$108</f>
        <v>0</v>
      </c>
      <c r="G90" s="590"/>
      <c r="H90" s="550" t="e">
        <f t="shared" si="6"/>
        <v>#DIV/0!</v>
      </c>
      <c r="J90" s="88"/>
      <c r="BZ90" s="327"/>
      <c r="CA90" s="327"/>
      <c r="CB90" s="327"/>
      <c r="CC90" s="327"/>
      <c r="CD90" s="327"/>
      <c r="CE90" s="327"/>
      <c r="CF90" s="327"/>
      <c r="CG90" s="327"/>
      <c r="CH90" s="327"/>
      <c r="CI90" s="327"/>
      <c r="CJ90" s="327"/>
      <c r="CK90" s="327"/>
      <c r="CL90" s="327"/>
      <c r="CM90" s="327"/>
      <c r="CN90" s="327"/>
      <c r="CO90" s="327"/>
      <c r="CP90" s="327"/>
      <c r="CQ90" s="327"/>
      <c r="CR90" s="327"/>
      <c r="CS90" s="327"/>
      <c r="CT90" s="327"/>
      <c r="CU90" s="327"/>
      <c r="CV90" s="327"/>
      <c r="CW90" s="327"/>
      <c r="CX90" s="327"/>
    </row>
    <row r="91" spans="2:102" x14ac:dyDescent="0.25">
      <c r="B91" s="273" t="s">
        <v>372</v>
      </c>
      <c r="C91" s="273" t="s">
        <v>57</v>
      </c>
      <c r="D91" s="237">
        <f>Biodiesel!D94</f>
        <v>0</v>
      </c>
      <c r="E91" s="237"/>
      <c r="F91" s="238">
        <f>D91*'Dados auxiliares'!$H$109</f>
        <v>0</v>
      </c>
      <c r="G91" s="590"/>
      <c r="H91" s="550" t="e">
        <f t="shared" si="6"/>
        <v>#DIV/0!</v>
      </c>
      <c r="J91" s="88"/>
      <c r="BZ91" s="327"/>
      <c r="CA91" s="327"/>
      <c r="CB91" s="327"/>
      <c r="CC91" s="327"/>
      <c r="CD91" s="327"/>
      <c r="CE91" s="327"/>
      <c r="CF91" s="327"/>
      <c r="CG91" s="327"/>
      <c r="CH91" s="327"/>
      <c r="CI91" s="327"/>
      <c r="CJ91" s="327"/>
      <c r="CK91" s="327"/>
      <c r="CL91" s="327"/>
      <c r="CM91" s="327"/>
      <c r="CN91" s="327"/>
      <c r="CO91" s="327"/>
      <c r="CP91" s="327"/>
      <c r="CQ91" s="327"/>
      <c r="CR91" s="327"/>
      <c r="CS91" s="327"/>
      <c r="CT91" s="327"/>
      <c r="CU91" s="327"/>
      <c r="CV91" s="327"/>
      <c r="CW91" s="327"/>
      <c r="CX91" s="327"/>
    </row>
    <row r="92" spans="2:102" x14ac:dyDescent="0.25">
      <c r="B92" s="273" t="s">
        <v>373</v>
      </c>
      <c r="C92" s="273" t="s">
        <v>57</v>
      </c>
      <c r="D92" s="237">
        <f>Biodiesel!D95</f>
        <v>0</v>
      </c>
      <c r="E92" s="237"/>
      <c r="F92" s="238">
        <f>D92*'Dados auxiliares'!$H$110</f>
        <v>0</v>
      </c>
      <c r="G92" s="590"/>
      <c r="H92" s="550" t="e">
        <f t="shared" si="6"/>
        <v>#DIV/0!</v>
      </c>
      <c r="J92" s="88"/>
      <c r="BZ92" s="327"/>
      <c r="CA92" s="327"/>
      <c r="CB92" s="327"/>
      <c r="CC92" s="327"/>
      <c r="CD92" s="327"/>
      <c r="CE92" s="327"/>
      <c r="CF92" s="327"/>
      <c r="CG92" s="327"/>
      <c r="CH92" s="327"/>
      <c r="CI92" s="327"/>
      <c r="CJ92" s="327"/>
      <c r="CK92" s="327"/>
      <c r="CL92" s="327"/>
      <c r="CM92" s="327"/>
      <c r="CN92" s="327"/>
      <c r="CO92" s="327"/>
      <c r="CP92" s="327"/>
      <c r="CQ92" s="327"/>
      <c r="CR92" s="327"/>
      <c r="CS92" s="327"/>
      <c r="CT92" s="327"/>
      <c r="CU92" s="327"/>
      <c r="CV92" s="327"/>
      <c r="CW92" s="327"/>
      <c r="CX92" s="327"/>
    </row>
    <row r="93" spans="2:102" x14ac:dyDescent="0.25">
      <c r="B93" s="273" t="s">
        <v>374</v>
      </c>
      <c r="C93" s="273" t="s">
        <v>57</v>
      </c>
      <c r="D93" s="237">
        <f>Biodiesel!D96</f>
        <v>0</v>
      </c>
      <c r="E93" s="237"/>
      <c r="F93" s="238">
        <f>D93*'Dados auxiliares'!$H$111</f>
        <v>0</v>
      </c>
      <c r="G93" s="590"/>
      <c r="H93" s="550" t="e">
        <f t="shared" si="6"/>
        <v>#DIV/0!</v>
      </c>
      <c r="J93" s="88"/>
      <c r="BZ93" s="327"/>
      <c r="CA93" s="327"/>
      <c r="CB93" s="327"/>
      <c r="CC93" s="327"/>
      <c r="CD93" s="327"/>
      <c r="CE93" s="327"/>
      <c r="CF93" s="327"/>
      <c r="CG93" s="327"/>
      <c r="CH93" s="327"/>
      <c r="CI93" s="327"/>
      <c r="CJ93" s="327"/>
      <c r="CK93" s="327"/>
      <c r="CL93" s="327"/>
      <c r="CM93" s="327"/>
      <c r="CN93" s="327"/>
      <c r="CO93" s="327"/>
      <c r="CP93" s="327"/>
      <c r="CQ93" s="327"/>
      <c r="CR93" s="327"/>
      <c r="CS93" s="327"/>
      <c r="CT93" s="327"/>
      <c r="CU93" s="327"/>
      <c r="CV93" s="327"/>
      <c r="CW93" s="327"/>
      <c r="CX93" s="327"/>
    </row>
    <row r="94" spans="2:102" x14ac:dyDescent="0.25">
      <c r="B94" s="273" t="s">
        <v>309</v>
      </c>
      <c r="C94" s="273" t="s">
        <v>1</v>
      </c>
      <c r="D94" s="237">
        <f>(Biodiesel!D97*(1-0.08)+Biodiesel!$D$98*(1-0.1)+Biodiesel!$D$99*(1-Biodiesel!$G$99)+Biodiesel!$D$100*(1-0.2)+Biodiesel!$D$101*(1-0.3)+Biodiesel!$D$102*(1-1))*('Dados auxiliares'!$D$26)</f>
        <v>0</v>
      </c>
      <c r="E94" s="237"/>
      <c r="F94" s="238">
        <f>D94*'Dados auxiliares'!$H$116</f>
        <v>0</v>
      </c>
      <c r="G94" s="590"/>
      <c r="H94" s="550" t="e">
        <f t="shared" si="6"/>
        <v>#DIV/0!</v>
      </c>
      <c r="J94" s="88"/>
      <c r="BZ94" s="323"/>
      <c r="CA94" s="327"/>
      <c r="CB94" s="327"/>
      <c r="CC94" s="327"/>
      <c r="CD94" s="327"/>
      <c r="CE94" s="327"/>
      <c r="CF94" s="327"/>
      <c r="CG94" s="327"/>
      <c r="CH94" s="327"/>
      <c r="CI94" s="327"/>
      <c r="CJ94" s="327"/>
      <c r="CK94" s="327"/>
      <c r="CL94" s="327"/>
      <c r="CM94" s="327"/>
      <c r="CN94" s="327"/>
      <c r="CO94" s="327"/>
      <c r="CP94" s="327"/>
      <c r="CQ94" s="327"/>
      <c r="CR94" s="327"/>
      <c r="CS94" s="327"/>
      <c r="CT94" s="327"/>
      <c r="CU94" s="327"/>
      <c r="CV94" s="327"/>
      <c r="CW94" s="327"/>
      <c r="CX94" s="327"/>
    </row>
    <row r="95" spans="2:102" x14ac:dyDescent="0.25">
      <c r="B95" s="273" t="s">
        <v>187</v>
      </c>
      <c r="C95" s="273" t="s">
        <v>1</v>
      </c>
      <c r="D95" s="237">
        <f>(Biodiesel!D97*(0.08)+Biodiesel!$D$98*(0.1)+Biodiesel!$D$99*(Biodiesel!$G$99)+Biodiesel!$D$100*(0.2)+Biodiesel!$D$101*(0.3)+Biodiesel!$D$102*(1))*('Dados auxiliares'!$D$17)</f>
        <v>0</v>
      </c>
      <c r="E95" s="237"/>
      <c r="F95" s="238">
        <f>D95*'Dados auxiliares'!$H$117</f>
        <v>0</v>
      </c>
      <c r="G95" s="590"/>
      <c r="H95" s="550" t="e">
        <f t="shared" si="6"/>
        <v>#DIV/0!</v>
      </c>
      <c r="J95" s="88"/>
      <c r="BZ95" s="323"/>
      <c r="CA95" s="327"/>
      <c r="CB95" s="327"/>
      <c r="CC95" s="327"/>
      <c r="CD95" s="327"/>
      <c r="CE95" s="327"/>
      <c r="CF95" s="327"/>
      <c r="CG95" s="327"/>
      <c r="CH95" s="327"/>
      <c r="CI95" s="327"/>
      <c r="CJ95" s="327"/>
      <c r="CK95" s="327"/>
      <c r="CL95" s="327"/>
      <c r="CM95" s="327"/>
      <c r="CN95" s="327"/>
      <c r="CO95" s="327"/>
      <c r="CP95" s="327"/>
      <c r="CQ95" s="327"/>
      <c r="CR95" s="327"/>
      <c r="CS95" s="327"/>
      <c r="CT95" s="327"/>
      <c r="CU95" s="327"/>
      <c r="CV95" s="327"/>
      <c r="CW95" s="327"/>
      <c r="CX95" s="327"/>
    </row>
    <row r="96" spans="2:102" x14ac:dyDescent="0.25">
      <c r="B96" s="273" t="s">
        <v>851</v>
      </c>
      <c r="C96" s="273" t="s">
        <v>1</v>
      </c>
      <c r="D96" s="237">
        <f>Biodiesel!D103*'Dados auxiliares'!$D$30</f>
        <v>0</v>
      </c>
      <c r="E96" s="237"/>
      <c r="F96" s="238">
        <f>D96*'Dados auxiliares'!$H$126</f>
        <v>0</v>
      </c>
      <c r="G96" s="590"/>
      <c r="H96" s="550" t="e">
        <f t="shared" si="6"/>
        <v>#DIV/0!</v>
      </c>
      <c r="J96" s="88"/>
      <c r="BZ96" s="323"/>
      <c r="CA96" s="327"/>
      <c r="CB96" s="327"/>
      <c r="CC96" s="327"/>
      <c r="CD96" s="327"/>
      <c r="CE96" s="327"/>
      <c r="CF96" s="327"/>
      <c r="CG96" s="327"/>
      <c r="CH96" s="327"/>
      <c r="CI96" s="327"/>
      <c r="CJ96" s="327"/>
      <c r="CK96" s="327"/>
      <c r="CL96" s="327"/>
      <c r="CM96" s="327"/>
      <c r="CN96" s="327"/>
      <c r="CO96" s="327"/>
      <c r="CP96" s="327"/>
      <c r="CQ96" s="327"/>
      <c r="CR96" s="327"/>
      <c r="CS96" s="327"/>
      <c r="CT96" s="327"/>
      <c r="CU96" s="327"/>
      <c r="CV96" s="327"/>
      <c r="CW96" s="327"/>
      <c r="CX96" s="327"/>
    </row>
    <row r="97" spans="2:102" x14ac:dyDescent="0.25">
      <c r="B97" s="273" t="s">
        <v>923</v>
      </c>
      <c r="C97" s="273" t="s">
        <v>169</v>
      </c>
      <c r="D97" s="237">
        <f>Biodiesel!D104</f>
        <v>0</v>
      </c>
      <c r="E97" s="237"/>
      <c r="F97" s="238">
        <f>D97*Biodiesel!G104*'Dados auxiliares'!$H$125</f>
        <v>0</v>
      </c>
      <c r="G97" s="590"/>
      <c r="H97" s="550" t="e">
        <f t="shared" si="6"/>
        <v>#DIV/0!</v>
      </c>
      <c r="J97" s="88"/>
      <c r="BZ97" s="323"/>
      <c r="CA97" s="327"/>
      <c r="CB97" s="327"/>
      <c r="CC97" s="327"/>
      <c r="CD97" s="327"/>
      <c r="CE97" s="327"/>
      <c r="CF97" s="327"/>
      <c r="CG97" s="327"/>
      <c r="CH97" s="327"/>
      <c r="CI97" s="327"/>
      <c r="CJ97" s="327"/>
      <c r="CK97" s="327"/>
      <c r="CL97" s="327"/>
      <c r="CM97" s="327"/>
      <c r="CN97" s="327"/>
      <c r="CO97" s="327"/>
      <c r="CP97" s="327"/>
      <c r="CQ97" s="327"/>
      <c r="CR97" s="327"/>
      <c r="CS97" s="327"/>
      <c r="CT97" s="327"/>
      <c r="CU97" s="327"/>
      <c r="CV97" s="327"/>
      <c r="CW97" s="327"/>
      <c r="CX97" s="327"/>
    </row>
    <row r="98" spans="2:102" x14ac:dyDescent="0.25">
      <c r="B98" s="273" t="s">
        <v>572</v>
      </c>
      <c r="C98" s="273" t="s">
        <v>169</v>
      </c>
      <c r="D98" s="237">
        <f>Biodiesel!D106</f>
        <v>0</v>
      </c>
      <c r="E98" s="237"/>
      <c r="F98" s="238">
        <f>D98*'Dados auxiliares'!$H$115</f>
        <v>0</v>
      </c>
      <c r="G98" s="590"/>
      <c r="H98" s="550" t="e">
        <f t="shared" si="6"/>
        <v>#DIV/0!</v>
      </c>
      <c r="J98" s="88"/>
      <c r="BZ98" s="323"/>
      <c r="CA98" s="327"/>
      <c r="CB98" s="327"/>
      <c r="CC98" s="327"/>
      <c r="CD98" s="327"/>
      <c r="CE98" s="327"/>
      <c r="CF98" s="327"/>
      <c r="CG98" s="327"/>
      <c r="CH98" s="327"/>
      <c r="CI98" s="327"/>
      <c r="CJ98" s="327"/>
      <c r="CK98" s="327"/>
      <c r="CL98" s="327"/>
      <c r="CM98" s="327"/>
      <c r="CN98" s="327"/>
      <c r="CO98" s="327"/>
      <c r="CP98" s="327"/>
      <c r="CQ98" s="327"/>
      <c r="CR98" s="327"/>
      <c r="CS98" s="327"/>
      <c r="CT98" s="327"/>
      <c r="CU98" s="327"/>
      <c r="CV98" s="327"/>
      <c r="CW98" s="327"/>
      <c r="CX98" s="327"/>
    </row>
    <row r="99" spans="2:102" ht="18" x14ac:dyDescent="0.25">
      <c r="B99" s="273" t="s">
        <v>106</v>
      </c>
      <c r="C99" s="273" t="s">
        <v>506</v>
      </c>
      <c r="D99" s="278">
        <f>Biodiesel!$D$108*(1-Biodiesel!$D$109)</f>
        <v>0</v>
      </c>
      <c r="E99" s="259"/>
      <c r="F99" s="278">
        <f>D99*'Dados auxiliares'!$H$123</f>
        <v>0</v>
      </c>
      <c r="G99" s="598"/>
      <c r="H99" s="550" t="e">
        <f t="shared" si="6"/>
        <v>#DIV/0!</v>
      </c>
      <c r="J99" s="88"/>
      <c r="BZ99" s="327"/>
      <c r="CA99" s="327"/>
      <c r="CB99" s="327"/>
      <c r="CC99" s="327"/>
      <c r="CD99" s="327"/>
      <c r="CE99" s="327"/>
      <c r="CF99" s="327"/>
      <c r="CG99" s="327"/>
      <c r="CH99" s="327"/>
      <c r="CI99" s="327"/>
      <c r="CJ99" s="327"/>
      <c r="CK99" s="327"/>
      <c r="CL99" s="327"/>
      <c r="CM99" s="327"/>
      <c r="CN99" s="327"/>
      <c r="CO99" s="327"/>
      <c r="CP99" s="327"/>
      <c r="CQ99" s="327"/>
      <c r="CR99" s="327"/>
      <c r="CS99" s="327"/>
      <c r="CT99" s="327"/>
      <c r="CU99" s="327"/>
      <c r="CV99" s="327"/>
      <c r="CW99" s="327"/>
      <c r="CX99" s="327"/>
    </row>
    <row r="100" spans="2:102" x14ac:dyDescent="0.25">
      <c r="B100" s="273" t="s">
        <v>500</v>
      </c>
      <c r="C100" s="273" t="s">
        <v>47</v>
      </c>
      <c r="D100" s="278">
        <f>((D99/1000)*Biodiesel!$D$110)</f>
        <v>0</v>
      </c>
      <c r="E100" s="259"/>
      <c r="F100" s="278">
        <f>D100*'Dados auxiliares'!$H$131</f>
        <v>0</v>
      </c>
      <c r="G100" s="598"/>
      <c r="H100" s="550" t="e">
        <f t="shared" si="6"/>
        <v>#DIV/0!</v>
      </c>
      <c r="J100" s="88"/>
      <c r="BZ100" s="327"/>
      <c r="CA100" s="327"/>
      <c r="CB100" s="327"/>
      <c r="CC100" s="327"/>
      <c r="CD100" s="327"/>
      <c r="CE100" s="327"/>
      <c r="CF100" s="327"/>
      <c r="CG100" s="327"/>
      <c r="CH100" s="327"/>
      <c r="CI100" s="327"/>
      <c r="CJ100" s="327"/>
      <c r="CK100" s="327"/>
      <c r="CL100" s="327"/>
      <c r="CM100" s="327"/>
      <c r="CN100" s="327"/>
      <c r="CO100" s="327"/>
      <c r="CP100" s="327"/>
      <c r="CQ100" s="327"/>
      <c r="CR100" s="327"/>
      <c r="CS100" s="327"/>
      <c r="CT100" s="327"/>
      <c r="CU100" s="327"/>
      <c r="CV100" s="327"/>
      <c r="CW100" s="327"/>
      <c r="CX100" s="327"/>
    </row>
    <row r="101" spans="2:102" ht="18" x14ac:dyDescent="0.25">
      <c r="B101" s="273" t="s">
        <v>347</v>
      </c>
      <c r="C101" s="273" t="s">
        <v>506</v>
      </c>
      <c r="D101" s="278">
        <f>Biodiesel!$D$112*(1-Biodiesel!$D$113)</f>
        <v>0</v>
      </c>
      <c r="E101" s="259"/>
      <c r="F101" s="278">
        <f>D101*'Dados auxiliares'!$H$124</f>
        <v>0</v>
      </c>
      <c r="G101" s="598"/>
      <c r="H101" s="550" t="e">
        <f t="shared" si="6"/>
        <v>#DIV/0!</v>
      </c>
      <c r="J101" s="88"/>
      <c r="BZ101" s="327"/>
      <c r="CA101" s="327"/>
      <c r="CB101" s="327"/>
      <c r="CC101" s="327"/>
      <c r="CD101" s="327"/>
      <c r="CE101" s="327"/>
      <c r="CF101" s="327"/>
      <c r="CG101" s="327"/>
      <c r="CH101" s="327"/>
      <c r="CI101" s="327"/>
      <c r="CJ101" s="327"/>
      <c r="CK101" s="327"/>
      <c r="CL101" s="327"/>
      <c r="CM101" s="327"/>
      <c r="CN101" s="327"/>
      <c r="CO101" s="327"/>
      <c r="CP101" s="327"/>
      <c r="CQ101" s="327"/>
      <c r="CR101" s="327"/>
      <c r="CS101" s="327"/>
      <c r="CT101" s="327"/>
      <c r="CU101" s="327"/>
      <c r="CV101" s="327"/>
      <c r="CW101" s="327"/>
      <c r="CX101" s="327"/>
    </row>
    <row r="102" spans="2:102" x14ac:dyDescent="0.25">
      <c r="B102" s="273" t="s">
        <v>503</v>
      </c>
      <c r="C102" s="273" t="s">
        <v>47</v>
      </c>
      <c r="D102" s="278">
        <f>((D101/1000)*Biodiesel!$D$114)</f>
        <v>0</v>
      </c>
      <c r="E102" s="259"/>
      <c r="F102" s="278">
        <f>D102*'Dados auxiliares'!$H$131</f>
        <v>0</v>
      </c>
      <c r="G102" s="598"/>
      <c r="H102" s="550" t="e">
        <f t="shared" si="6"/>
        <v>#DIV/0!</v>
      </c>
      <c r="J102" s="88"/>
      <c r="BZ102" s="327"/>
      <c r="CA102" s="327"/>
      <c r="CB102" s="327"/>
      <c r="CC102" s="327"/>
      <c r="CD102" s="327"/>
      <c r="CE102" s="327"/>
      <c r="CF102" s="327"/>
      <c r="CG102" s="327"/>
      <c r="CH102" s="327"/>
      <c r="CI102" s="327"/>
      <c r="CJ102" s="327"/>
      <c r="CK102" s="327"/>
      <c r="CL102" s="327"/>
      <c r="CM102" s="327"/>
      <c r="CN102" s="327"/>
      <c r="CO102" s="327"/>
      <c r="CP102" s="327"/>
      <c r="CQ102" s="327"/>
      <c r="CR102" s="327"/>
      <c r="CS102" s="327"/>
      <c r="CT102" s="327"/>
      <c r="CU102" s="327"/>
      <c r="CV102" s="327"/>
      <c r="CW102" s="327"/>
      <c r="CX102" s="327"/>
    </row>
    <row r="103" spans="2:102" ht="18" x14ac:dyDescent="0.25">
      <c r="B103" s="273" t="s">
        <v>466</v>
      </c>
      <c r="C103" s="273" t="s">
        <v>506</v>
      </c>
      <c r="D103" s="278">
        <f>Biodiesel!$D$116*(1-Biodiesel!$D$117)</f>
        <v>0</v>
      </c>
      <c r="E103" s="259"/>
      <c r="F103" s="277">
        <v>0</v>
      </c>
      <c r="G103" s="544"/>
      <c r="H103" s="550" t="e">
        <f t="shared" si="6"/>
        <v>#DIV/0!</v>
      </c>
      <c r="J103" s="88"/>
      <c r="BZ103" s="327"/>
      <c r="CA103" s="327"/>
      <c r="CB103" s="327"/>
      <c r="CC103" s="327"/>
      <c r="CD103" s="327"/>
      <c r="CE103" s="327"/>
      <c r="CF103" s="327"/>
      <c r="CG103" s="327"/>
      <c r="CH103" s="327"/>
      <c r="CI103" s="327"/>
      <c r="CJ103" s="327"/>
      <c r="CK103" s="327"/>
      <c r="CL103" s="327"/>
      <c r="CM103" s="327"/>
      <c r="CN103" s="327"/>
      <c r="CO103" s="327"/>
      <c r="CP103" s="327"/>
      <c r="CQ103" s="327"/>
      <c r="CR103" s="327"/>
      <c r="CS103" s="327"/>
      <c r="CT103" s="327"/>
      <c r="CU103" s="327"/>
      <c r="CV103" s="327"/>
      <c r="CW103" s="327"/>
      <c r="CX103" s="327"/>
    </row>
    <row r="104" spans="2:102" x14ac:dyDescent="0.25">
      <c r="B104" s="273" t="s">
        <v>504</v>
      </c>
      <c r="C104" s="273" t="s">
        <v>47</v>
      </c>
      <c r="D104" s="278">
        <f>((D103/1000)*Biodiesel!$D$118)</f>
        <v>0</v>
      </c>
      <c r="E104" s="259"/>
      <c r="F104" s="278">
        <f>D104*'Dados auxiliares'!$H$131</f>
        <v>0</v>
      </c>
      <c r="G104" s="598"/>
      <c r="H104" s="550" t="e">
        <f t="shared" si="6"/>
        <v>#DIV/0!</v>
      </c>
      <c r="J104" s="88"/>
      <c r="BZ104" s="323"/>
      <c r="CA104" s="327"/>
      <c r="CB104" s="327"/>
      <c r="CC104" s="327"/>
      <c r="CD104" s="327"/>
      <c r="CE104" s="327"/>
      <c r="CF104" s="327"/>
      <c r="CG104" s="327"/>
      <c r="CH104" s="327"/>
      <c r="CI104" s="327"/>
      <c r="CJ104" s="327"/>
      <c r="CK104" s="327"/>
      <c r="CL104" s="327"/>
      <c r="CM104" s="327"/>
      <c r="CN104" s="327"/>
      <c r="CO104" s="327"/>
      <c r="CP104" s="327"/>
      <c r="CQ104" s="327"/>
      <c r="CR104" s="327"/>
      <c r="CS104" s="327"/>
      <c r="CT104" s="327"/>
      <c r="CU104" s="327"/>
      <c r="CV104" s="327"/>
      <c r="CW104" s="327"/>
      <c r="CX104" s="327"/>
    </row>
    <row r="105" spans="2:102" ht="18" x14ac:dyDescent="0.25">
      <c r="B105" s="273" t="s">
        <v>575</v>
      </c>
      <c r="C105" s="273" t="s">
        <v>506</v>
      </c>
      <c r="D105" s="278">
        <f>Biodiesel!$D$120*(1-Biodiesel!$D$121)</f>
        <v>0</v>
      </c>
      <c r="E105" s="259"/>
      <c r="F105" s="277">
        <v>0</v>
      </c>
      <c r="G105" s="544"/>
      <c r="H105" s="550" t="e">
        <f t="shared" si="6"/>
        <v>#DIV/0!</v>
      </c>
      <c r="J105" s="88"/>
      <c r="BZ105" s="323"/>
      <c r="CA105" s="327"/>
      <c r="CB105" s="327"/>
      <c r="CC105" s="327"/>
      <c r="CD105" s="327"/>
      <c r="CE105" s="327"/>
      <c r="CF105" s="327"/>
      <c r="CG105" s="327"/>
      <c r="CH105" s="327"/>
      <c r="CI105" s="327"/>
      <c r="CJ105" s="327"/>
      <c r="CK105" s="327"/>
      <c r="CL105" s="327"/>
      <c r="CM105" s="327"/>
      <c r="CN105" s="327"/>
      <c r="CO105" s="327"/>
      <c r="CP105" s="327"/>
      <c r="CQ105" s="327"/>
      <c r="CR105" s="327"/>
      <c r="CS105" s="327"/>
      <c r="CT105" s="327"/>
      <c r="CU105" s="327"/>
      <c r="CV105" s="327"/>
      <c r="CW105" s="327"/>
      <c r="CX105" s="327"/>
    </row>
    <row r="106" spans="2:102" x14ac:dyDescent="0.25">
      <c r="B106" s="273" t="s">
        <v>576</v>
      </c>
      <c r="C106" s="273" t="s">
        <v>47</v>
      </c>
      <c r="D106" s="278">
        <f>((D105/1000)*Biodiesel!$D$122)</f>
        <v>0</v>
      </c>
      <c r="E106" s="259"/>
      <c r="F106" s="278">
        <f>D106*'Dados auxiliares'!$H$131</f>
        <v>0</v>
      </c>
      <c r="G106" s="598"/>
      <c r="H106" s="550" t="e">
        <f t="shared" si="6"/>
        <v>#DIV/0!</v>
      </c>
      <c r="J106" s="88"/>
      <c r="BZ106" s="323"/>
      <c r="CA106" s="327"/>
      <c r="CB106" s="327"/>
      <c r="CC106" s="327"/>
      <c r="CD106" s="327"/>
      <c r="CE106" s="327"/>
      <c r="CF106" s="327"/>
      <c r="CG106" s="327"/>
      <c r="CH106" s="327"/>
      <c r="CI106" s="327"/>
      <c r="CJ106" s="327"/>
      <c r="CK106" s="327"/>
      <c r="CL106" s="327"/>
      <c r="CM106" s="327"/>
      <c r="CN106" s="327"/>
      <c r="CO106" s="327"/>
      <c r="CP106" s="327"/>
      <c r="CQ106" s="327"/>
      <c r="CR106" s="327"/>
      <c r="CS106" s="327"/>
      <c r="CT106" s="327"/>
      <c r="CU106" s="327"/>
      <c r="CV106" s="327"/>
      <c r="CW106" s="327"/>
      <c r="CX106" s="327"/>
    </row>
    <row r="107" spans="2:102" ht="18" x14ac:dyDescent="0.25">
      <c r="B107" s="273" t="s">
        <v>577</v>
      </c>
      <c r="C107" s="273" t="s">
        <v>506</v>
      </c>
      <c r="D107" s="278">
        <f>Biodiesel!$D$124*(1-Biodiesel!$D$125)</f>
        <v>0</v>
      </c>
      <c r="E107" s="259"/>
      <c r="F107" s="278">
        <f>D107*'Dados auxiliares'!$H$78</f>
        <v>0</v>
      </c>
      <c r="G107" s="598"/>
      <c r="H107" s="550" t="e">
        <f t="shared" si="6"/>
        <v>#DIV/0!</v>
      </c>
      <c r="J107" s="88"/>
      <c r="BZ107" s="323"/>
      <c r="CA107" s="327"/>
      <c r="CB107" s="327"/>
      <c r="CC107" s="327"/>
      <c r="CD107" s="327"/>
      <c r="CE107" s="327"/>
      <c r="CF107" s="327"/>
      <c r="CG107" s="327"/>
      <c r="CH107" s="327"/>
      <c r="CI107" s="327"/>
      <c r="CJ107" s="327"/>
      <c r="CK107" s="327"/>
      <c r="CL107" s="327"/>
      <c r="CM107" s="327"/>
      <c r="CN107" s="327"/>
      <c r="CO107" s="327"/>
      <c r="CP107" s="327"/>
      <c r="CQ107" s="327"/>
      <c r="CR107" s="327"/>
      <c r="CS107" s="327"/>
      <c r="CT107" s="327"/>
      <c r="CU107" s="327"/>
      <c r="CV107" s="327"/>
      <c r="CW107" s="327"/>
      <c r="CX107" s="327"/>
    </row>
    <row r="108" spans="2:102" x14ac:dyDescent="0.25">
      <c r="B108" s="273" t="s">
        <v>578</v>
      </c>
      <c r="C108" s="273" t="s">
        <v>47</v>
      </c>
      <c r="D108" s="278">
        <f>((D107/1000)*Biodiesel!$D$126)</f>
        <v>0</v>
      </c>
      <c r="E108" s="259"/>
      <c r="F108" s="278">
        <f>D108*'Dados auxiliares'!$H$131</f>
        <v>0</v>
      </c>
      <c r="G108" s="598"/>
      <c r="H108" s="550" t="e">
        <f t="shared" si="6"/>
        <v>#DIV/0!</v>
      </c>
      <c r="J108" s="88"/>
      <c r="BZ108" s="323"/>
      <c r="CA108" s="327"/>
      <c r="CB108" s="327"/>
      <c r="CC108" s="327"/>
      <c r="CD108" s="327"/>
      <c r="CE108" s="327"/>
      <c r="CF108" s="327"/>
      <c r="CG108" s="327"/>
      <c r="CH108" s="327"/>
      <c r="CI108" s="327"/>
      <c r="CJ108" s="327"/>
      <c r="CK108" s="327"/>
      <c r="CL108" s="327"/>
      <c r="CM108" s="327"/>
      <c r="CN108" s="327"/>
      <c r="CO108" s="327"/>
      <c r="CP108" s="327"/>
      <c r="CQ108" s="327"/>
      <c r="CR108" s="327"/>
      <c r="CS108" s="327"/>
      <c r="CT108" s="327"/>
      <c r="CU108" s="327"/>
      <c r="CV108" s="327"/>
      <c r="CW108" s="327"/>
      <c r="CX108" s="327"/>
    </row>
    <row r="109" spans="2:102" ht="18" x14ac:dyDescent="0.25">
      <c r="B109" s="338" t="s">
        <v>52</v>
      </c>
      <c r="C109" s="546" t="s">
        <v>0</v>
      </c>
      <c r="D109" s="546" t="s">
        <v>549</v>
      </c>
      <c r="E109" s="282"/>
      <c r="F109" s="283" t="s">
        <v>550</v>
      </c>
      <c r="G109" s="272"/>
      <c r="H109" s="283" t="s">
        <v>535</v>
      </c>
      <c r="J109" s="88"/>
      <c r="BZ109" s="157"/>
      <c r="CA109" s="327" t="s">
        <v>241</v>
      </c>
      <c r="CB109" s="327"/>
      <c r="CC109" s="327"/>
      <c r="CD109" s="327"/>
      <c r="CE109" s="327"/>
      <c r="CF109" s="327"/>
      <c r="CG109" s="327"/>
      <c r="CH109" s="327"/>
      <c r="CI109" s="327"/>
      <c r="CJ109" s="327"/>
      <c r="CK109" s="327"/>
      <c r="CL109" s="327"/>
      <c r="CM109" s="327"/>
      <c r="CN109" s="327"/>
      <c r="CO109" s="327"/>
      <c r="CP109" s="327"/>
      <c r="CQ109" s="327"/>
      <c r="CR109" s="327"/>
      <c r="CS109" s="327"/>
      <c r="CT109" s="327"/>
      <c r="CU109" s="327"/>
      <c r="CV109" s="327"/>
      <c r="CW109" s="327"/>
      <c r="CX109" s="327"/>
    </row>
    <row r="110" spans="2:102" x14ac:dyDescent="0.25">
      <c r="B110" s="273" t="s">
        <v>437</v>
      </c>
      <c r="C110" s="273" t="s">
        <v>1</v>
      </c>
      <c r="D110" s="278">
        <f>D94*'FE''s queima combustíveis'!$I$50/1000</f>
        <v>0</v>
      </c>
      <c r="E110" s="259"/>
      <c r="F110" s="238">
        <f t="shared" ref="F110:F115" si="7">D110*1000</f>
        <v>0</v>
      </c>
      <c r="G110" s="590"/>
      <c r="H110" s="550" t="e">
        <f t="shared" ref="H110:H120" si="8">(((F110*$F$77)/$D$77)*1000*$F$131)/$E$131</f>
        <v>#DIV/0!</v>
      </c>
      <c r="J110" s="88"/>
      <c r="BZ110" s="157"/>
      <c r="CA110" s="327"/>
      <c r="CB110" s="327"/>
      <c r="CC110" s="327"/>
      <c r="CD110" s="327"/>
      <c r="CE110" s="327"/>
      <c r="CF110" s="327"/>
      <c r="CG110" s="327"/>
      <c r="CH110" s="327"/>
      <c r="CI110" s="327"/>
      <c r="CJ110" s="327"/>
      <c r="CK110" s="327"/>
      <c r="CL110" s="327"/>
      <c r="CM110" s="327"/>
      <c r="CN110" s="327"/>
      <c r="CO110" s="327"/>
      <c r="CP110" s="327"/>
      <c r="CQ110" s="327"/>
      <c r="CR110" s="327"/>
      <c r="CS110" s="327"/>
      <c r="CT110" s="327"/>
      <c r="CU110" s="327"/>
      <c r="CV110" s="327"/>
      <c r="CW110" s="327"/>
      <c r="CX110" s="327"/>
    </row>
    <row r="111" spans="2:102" x14ac:dyDescent="0.25">
      <c r="B111" s="273" t="s">
        <v>443</v>
      </c>
      <c r="C111" s="273" t="s">
        <v>1</v>
      </c>
      <c r="D111" s="278">
        <f>D95*'FE''s queima combustíveis'!$I$51/1000</f>
        <v>0</v>
      </c>
      <c r="E111" s="259"/>
      <c r="F111" s="238">
        <f t="shared" si="7"/>
        <v>0</v>
      </c>
      <c r="G111" s="590"/>
      <c r="H111" s="550" t="e">
        <f t="shared" si="8"/>
        <v>#DIV/0!</v>
      </c>
      <c r="J111" s="88"/>
      <c r="BZ111" s="157"/>
      <c r="CA111" s="327"/>
      <c r="CB111" s="327"/>
      <c r="CC111" s="327"/>
      <c r="CD111" s="327"/>
      <c r="CE111" s="327"/>
      <c r="CF111" s="327"/>
      <c r="CG111" s="327"/>
      <c r="CH111" s="327"/>
      <c r="CI111" s="327"/>
      <c r="CJ111" s="327"/>
      <c r="CK111" s="327"/>
      <c r="CL111" s="327"/>
      <c r="CM111" s="327"/>
      <c r="CN111" s="327"/>
      <c r="CO111" s="327"/>
      <c r="CP111" s="327"/>
      <c r="CQ111" s="327"/>
      <c r="CR111" s="327"/>
      <c r="CS111" s="327"/>
      <c r="CT111" s="327"/>
      <c r="CU111" s="327"/>
      <c r="CV111" s="327"/>
      <c r="CW111" s="327"/>
      <c r="CX111" s="327"/>
    </row>
    <row r="112" spans="2:102" x14ac:dyDescent="0.25">
      <c r="B112" s="273" t="s">
        <v>848</v>
      </c>
      <c r="C112" s="273" t="s">
        <v>1</v>
      </c>
      <c r="D112" s="278">
        <f>D96*'FE''s queima combustíveis'!$I$53/1000</f>
        <v>0</v>
      </c>
      <c r="E112" s="259"/>
      <c r="F112" s="238">
        <f t="shared" si="7"/>
        <v>0</v>
      </c>
      <c r="G112" s="590"/>
      <c r="H112" s="550" t="e">
        <f t="shared" si="8"/>
        <v>#DIV/0!</v>
      </c>
      <c r="J112" s="88"/>
      <c r="BZ112" s="157"/>
      <c r="CA112" s="327"/>
      <c r="CB112" s="327"/>
      <c r="CC112" s="327"/>
      <c r="CD112" s="327"/>
      <c r="CE112" s="327"/>
      <c r="CF112" s="327"/>
      <c r="CG112" s="327"/>
      <c r="CH112" s="327"/>
      <c r="CI112" s="327"/>
      <c r="CJ112" s="327"/>
      <c r="CK112" s="327"/>
      <c r="CL112" s="327"/>
      <c r="CM112" s="327"/>
      <c r="CN112" s="327"/>
      <c r="CO112" s="327"/>
      <c r="CP112" s="327"/>
      <c r="CQ112" s="327"/>
      <c r="CR112" s="327"/>
      <c r="CS112" s="327"/>
      <c r="CT112" s="327"/>
      <c r="CU112" s="327"/>
      <c r="CV112" s="327"/>
      <c r="CW112" s="327"/>
      <c r="CX112" s="327"/>
    </row>
    <row r="113" spans="2:102" x14ac:dyDescent="0.25">
      <c r="B113" s="273" t="s">
        <v>926</v>
      </c>
      <c r="C113" s="273" t="s">
        <v>1</v>
      </c>
      <c r="D113" s="278">
        <f>Biodiesel!D104*Biodiesel!G104*'FE''s queima combustíveis'!$I$41/1000</f>
        <v>0</v>
      </c>
      <c r="E113" s="259"/>
      <c r="F113" s="238">
        <f t="shared" si="7"/>
        <v>0</v>
      </c>
      <c r="G113" s="590"/>
      <c r="H113" s="550" t="e">
        <f t="shared" si="8"/>
        <v>#DIV/0!</v>
      </c>
      <c r="J113" s="88"/>
      <c r="BZ113" s="157"/>
      <c r="CA113" s="327"/>
      <c r="CB113" s="327"/>
      <c r="CC113" s="327"/>
      <c r="CD113" s="327"/>
      <c r="CE113" s="327"/>
      <c r="CF113" s="327"/>
      <c r="CG113" s="327"/>
      <c r="CH113" s="327"/>
      <c r="CI113" s="327"/>
      <c r="CJ113" s="327"/>
      <c r="CK113" s="327"/>
      <c r="CL113" s="327"/>
      <c r="CM113" s="327"/>
      <c r="CN113" s="327"/>
      <c r="CO113" s="327"/>
      <c r="CP113" s="327"/>
      <c r="CQ113" s="327"/>
      <c r="CR113" s="327"/>
      <c r="CS113" s="327"/>
      <c r="CT113" s="327"/>
      <c r="CU113" s="327"/>
      <c r="CV113" s="327"/>
      <c r="CW113" s="327"/>
      <c r="CX113" s="327"/>
    </row>
    <row r="114" spans="2:102" x14ac:dyDescent="0.25">
      <c r="B114" s="273" t="s">
        <v>925</v>
      </c>
      <c r="C114" s="273" t="s">
        <v>1</v>
      </c>
      <c r="D114" s="278">
        <f>Biodiesel!D105*Biodiesel!G105*'FE''s queima combustíveis'!$I$41/1000</f>
        <v>0</v>
      </c>
      <c r="E114" s="259"/>
      <c r="F114" s="238">
        <f t="shared" si="7"/>
        <v>0</v>
      </c>
      <c r="G114" s="590"/>
      <c r="H114" s="550" t="e">
        <f t="shared" si="8"/>
        <v>#DIV/0!</v>
      </c>
      <c r="J114" s="88"/>
      <c r="BZ114" s="157"/>
      <c r="CA114" s="327"/>
      <c r="CB114" s="327"/>
      <c r="CC114" s="327"/>
      <c r="CD114" s="327"/>
      <c r="CE114" s="327"/>
      <c r="CF114" s="327"/>
      <c r="CG114" s="327"/>
      <c r="CH114" s="327"/>
      <c r="CI114" s="327"/>
      <c r="CJ114" s="327"/>
      <c r="CK114" s="327"/>
      <c r="CL114" s="327"/>
      <c r="CM114" s="327"/>
      <c r="CN114" s="327"/>
      <c r="CO114" s="327"/>
      <c r="CP114" s="327"/>
      <c r="CQ114" s="327"/>
      <c r="CR114" s="327"/>
      <c r="CS114" s="327"/>
      <c r="CT114" s="327"/>
      <c r="CU114" s="327"/>
      <c r="CV114" s="327"/>
      <c r="CW114" s="327"/>
      <c r="CX114" s="327"/>
    </row>
    <row r="115" spans="2:102" x14ac:dyDescent="0.25">
      <c r="B115" s="273" t="s">
        <v>581</v>
      </c>
      <c r="C115" s="273" t="s">
        <v>1</v>
      </c>
      <c r="D115" s="278">
        <f>D98*'FE''s queima combustíveis'!$I$46*('Dados auxiliares'!$D$27*1000)/1000</f>
        <v>0</v>
      </c>
      <c r="E115" s="259"/>
      <c r="F115" s="238">
        <f t="shared" si="7"/>
        <v>0</v>
      </c>
      <c r="G115" s="590"/>
      <c r="H115" s="550" t="e">
        <f t="shared" si="8"/>
        <v>#DIV/0!</v>
      </c>
      <c r="J115" s="88"/>
      <c r="BZ115" s="157"/>
      <c r="CA115" s="327"/>
      <c r="CB115" s="327"/>
      <c r="CC115" s="327"/>
      <c r="CD115" s="327"/>
      <c r="CE115" s="327"/>
      <c r="CF115" s="327"/>
      <c r="CG115" s="327"/>
      <c r="CH115" s="327"/>
      <c r="CI115" s="327"/>
      <c r="CJ115" s="327"/>
      <c r="CK115" s="327"/>
      <c r="CL115" s="327"/>
      <c r="CM115" s="327"/>
      <c r="CN115" s="327"/>
      <c r="CO115" s="327"/>
      <c r="CP115" s="327"/>
      <c r="CQ115" s="327"/>
      <c r="CR115" s="327"/>
      <c r="CS115" s="327"/>
      <c r="CT115" s="327"/>
      <c r="CU115" s="327"/>
      <c r="CV115" s="327"/>
      <c r="CW115" s="327"/>
      <c r="CX115" s="327"/>
    </row>
    <row r="116" spans="2:102" x14ac:dyDescent="0.25">
      <c r="B116" s="273" t="s">
        <v>582</v>
      </c>
      <c r="C116" s="273" t="s">
        <v>1</v>
      </c>
      <c r="D116" s="278">
        <f>D105*'FE''s queima combustíveis'!$I$36/1000</f>
        <v>0</v>
      </c>
      <c r="E116" s="259"/>
      <c r="F116" s="238">
        <f t="shared" ref="F116:F120" si="9">D116*1000</f>
        <v>0</v>
      </c>
      <c r="G116" s="590"/>
      <c r="H116" s="550" t="e">
        <f t="shared" si="8"/>
        <v>#DIV/0!</v>
      </c>
      <c r="J116" s="88"/>
      <c r="BZ116" s="157"/>
      <c r="CA116" s="327"/>
      <c r="CB116" s="327"/>
      <c r="CC116" s="327"/>
      <c r="CD116" s="327"/>
      <c r="CE116" s="327"/>
      <c r="CF116" s="327"/>
      <c r="CG116" s="327"/>
      <c r="CH116" s="327"/>
      <c r="CI116" s="327"/>
      <c r="CJ116" s="327"/>
      <c r="CK116" s="327"/>
      <c r="CL116" s="327"/>
      <c r="CM116" s="327"/>
      <c r="CN116" s="327"/>
      <c r="CO116" s="327"/>
      <c r="CP116" s="327"/>
      <c r="CQ116" s="327"/>
      <c r="CR116" s="327"/>
      <c r="CS116" s="327"/>
      <c r="CT116" s="327"/>
      <c r="CU116" s="327"/>
      <c r="CV116" s="327"/>
      <c r="CW116" s="327"/>
      <c r="CX116" s="327"/>
    </row>
    <row r="117" spans="2:102" x14ac:dyDescent="0.25">
      <c r="B117" s="273" t="s">
        <v>583</v>
      </c>
      <c r="C117" s="273" t="s">
        <v>1</v>
      </c>
      <c r="D117" s="278">
        <f>D107*'FE''s queima combustíveis'!$I$37/1000</f>
        <v>0</v>
      </c>
      <c r="E117" s="259"/>
      <c r="F117" s="238">
        <f t="shared" si="9"/>
        <v>0</v>
      </c>
      <c r="G117" s="590"/>
      <c r="H117" s="550" t="e">
        <f t="shared" si="8"/>
        <v>#DIV/0!</v>
      </c>
      <c r="J117" s="88"/>
      <c r="BZ117" s="157"/>
      <c r="CA117" s="327"/>
      <c r="CB117" s="327"/>
      <c r="CC117" s="327"/>
      <c r="CD117" s="327"/>
      <c r="CE117" s="327"/>
      <c r="CF117" s="327"/>
      <c r="CG117" s="327"/>
      <c r="CH117" s="327"/>
      <c r="CI117" s="327"/>
      <c r="CJ117" s="327"/>
      <c r="CK117" s="327"/>
      <c r="CL117" s="327"/>
      <c r="CM117" s="327"/>
      <c r="CN117" s="327"/>
      <c r="CO117" s="327"/>
      <c r="CP117" s="327"/>
      <c r="CQ117" s="327"/>
      <c r="CR117" s="327"/>
      <c r="CS117" s="327"/>
      <c r="CT117" s="327"/>
      <c r="CU117" s="327"/>
      <c r="CV117" s="327"/>
      <c r="CW117" s="327"/>
      <c r="CX117" s="327"/>
    </row>
    <row r="118" spans="2:102" x14ac:dyDescent="0.25">
      <c r="B118" s="273" t="s">
        <v>520</v>
      </c>
      <c r="C118" s="273" t="s">
        <v>1</v>
      </c>
      <c r="D118" s="278">
        <f>D99*'FE''s queima combustíveis'!$I$38/1000</f>
        <v>0</v>
      </c>
      <c r="E118" s="259"/>
      <c r="F118" s="238">
        <f t="shared" si="9"/>
        <v>0</v>
      </c>
      <c r="G118" s="590"/>
      <c r="H118" s="550" t="e">
        <f t="shared" si="8"/>
        <v>#DIV/0!</v>
      </c>
      <c r="J118" s="88"/>
      <c r="BZ118" s="157"/>
      <c r="CA118" s="327"/>
      <c r="CB118" s="327"/>
      <c r="CC118" s="327"/>
      <c r="CD118" s="327"/>
      <c r="CE118" s="327"/>
      <c r="CF118" s="327"/>
      <c r="CG118" s="327"/>
      <c r="CH118" s="327"/>
      <c r="CI118" s="327"/>
      <c r="CJ118" s="327"/>
      <c r="CK118" s="327"/>
      <c r="CL118" s="327"/>
      <c r="CM118" s="327"/>
      <c r="CN118" s="327"/>
      <c r="CO118" s="327"/>
      <c r="CP118" s="327"/>
      <c r="CQ118" s="327"/>
      <c r="CR118" s="327"/>
      <c r="CS118" s="327"/>
      <c r="CT118" s="327"/>
      <c r="CU118" s="327"/>
      <c r="CV118" s="327"/>
      <c r="CW118" s="327"/>
      <c r="CX118" s="327"/>
    </row>
    <row r="119" spans="2:102" x14ac:dyDescent="0.25">
      <c r="B119" s="273" t="s">
        <v>518</v>
      </c>
      <c r="C119" s="273" t="s">
        <v>1</v>
      </c>
      <c r="D119" s="278">
        <f>D101*'FE''s queima combustíveis'!$I$39/1000</f>
        <v>0</v>
      </c>
      <c r="E119" s="259"/>
      <c r="F119" s="238">
        <f t="shared" si="9"/>
        <v>0</v>
      </c>
      <c r="G119" s="590"/>
      <c r="H119" s="550" t="e">
        <f t="shared" si="8"/>
        <v>#DIV/0!</v>
      </c>
    </row>
    <row r="120" spans="2:102" x14ac:dyDescent="0.25">
      <c r="B120" s="273" t="s">
        <v>519</v>
      </c>
      <c r="C120" s="273" t="s">
        <v>1</v>
      </c>
      <c r="D120" s="278">
        <f>D103*'FE''s queima combustíveis'!$I$40/1000</f>
        <v>0</v>
      </c>
      <c r="E120" s="259"/>
      <c r="F120" s="238">
        <f t="shared" si="9"/>
        <v>0</v>
      </c>
      <c r="G120" s="590"/>
      <c r="H120" s="550" t="e">
        <f t="shared" si="8"/>
        <v>#DIV/0!</v>
      </c>
      <c r="J120" s="88"/>
      <c r="BZ120" s="157"/>
      <c r="CA120" s="327"/>
      <c r="CB120" s="327"/>
      <c r="CC120" s="327"/>
      <c r="CD120" s="327"/>
      <c r="CE120" s="327"/>
      <c r="CF120" s="327"/>
      <c r="CG120" s="327"/>
      <c r="CH120" s="327"/>
      <c r="CI120" s="327"/>
      <c r="CJ120" s="327"/>
      <c r="CK120" s="327"/>
      <c r="CL120" s="327"/>
      <c r="CM120" s="327"/>
      <c r="CN120" s="327"/>
      <c r="CO120" s="327"/>
      <c r="CP120" s="327"/>
      <c r="CQ120" s="327"/>
      <c r="CR120" s="327"/>
      <c r="CS120" s="327"/>
      <c r="CT120" s="327"/>
      <c r="CU120" s="327"/>
      <c r="CV120" s="327"/>
      <c r="CW120" s="327"/>
      <c r="CX120" s="327"/>
    </row>
    <row r="121" spans="2:102" ht="6" customHeight="1" x14ac:dyDescent="0.25">
      <c r="B121" s="324"/>
      <c r="C121" s="324"/>
      <c r="D121" s="88"/>
      <c r="E121" s="88"/>
      <c r="F121" s="325"/>
      <c r="G121" s="325"/>
      <c r="H121" s="340"/>
      <c r="BZ121" s="323"/>
      <c r="CA121" s="327"/>
      <c r="CB121" s="327"/>
      <c r="CC121" s="327"/>
      <c r="CD121" s="327"/>
      <c r="CE121" s="327"/>
      <c r="CF121" s="327"/>
      <c r="CG121" s="327"/>
      <c r="CH121" s="327"/>
      <c r="CI121" s="327"/>
      <c r="CJ121" s="327"/>
      <c r="CK121" s="327"/>
      <c r="CL121" s="327"/>
      <c r="CM121" s="327"/>
      <c r="CN121" s="327"/>
      <c r="CO121" s="327"/>
      <c r="CP121" s="327"/>
      <c r="CQ121" s="327"/>
      <c r="CR121" s="327"/>
      <c r="CS121" s="327"/>
      <c r="CT121" s="327"/>
      <c r="CU121" s="327"/>
      <c r="CV121" s="327"/>
      <c r="CW121" s="327"/>
      <c r="CX121" s="327"/>
    </row>
    <row r="122" spans="2:102" ht="18" x14ac:dyDescent="0.25">
      <c r="B122" s="276" t="s">
        <v>54</v>
      </c>
      <c r="C122" s="274" t="s">
        <v>547</v>
      </c>
      <c r="D122" s="274"/>
      <c r="E122" s="275"/>
      <c r="F122" s="290">
        <f>SUM(F110:F120)</f>
        <v>0</v>
      </c>
      <c r="G122" s="597"/>
      <c r="H122" s="290" t="e">
        <f>(((F122*$F$77)/$D$77)*1000*$F$131)/$E$131</f>
        <v>#DIV/0!</v>
      </c>
      <c r="BZ122" s="323"/>
      <c r="CA122" s="327"/>
      <c r="CB122" s="327"/>
      <c r="CC122" s="327"/>
      <c r="CD122" s="327"/>
      <c r="CE122" s="327"/>
      <c r="CF122" s="327"/>
      <c r="CG122" s="327"/>
      <c r="CH122" s="327"/>
      <c r="CI122" s="327"/>
      <c r="CJ122" s="327"/>
      <c r="CK122" s="327"/>
      <c r="CL122" s="327"/>
      <c r="CM122" s="327"/>
      <c r="CN122" s="327"/>
      <c r="CO122" s="327"/>
      <c r="CP122" s="327"/>
      <c r="CQ122" s="327"/>
      <c r="CR122" s="327"/>
      <c r="CS122" s="327"/>
      <c r="CT122" s="327"/>
      <c r="CU122" s="327"/>
      <c r="CV122" s="327"/>
      <c r="CW122" s="327"/>
      <c r="CX122" s="327"/>
    </row>
    <row r="123" spans="2:102" ht="18" x14ac:dyDescent="0.25">
      <c r="B123" s="276" t="s">
        <v>61</v>
      </c>
      <c r="C123" s="274" t="s">
        <v>547</v>
      </c>
      <c r="D123" s="274"/>
      <c r="E123" s="275"/>
      <c r="F123" s="290">
        <f>SUM(F81:F108)</f>
        <v>343.53473580131794</v>
      </c>
      <c r="G123" s="597"/>
      <c r="H123" s="290" t="e">
        <f>(((F123*$F$77)/$D$77)*1000*$F$131)/$E$131</f>
        <v>#DIV/0!</v>
      </c>
      <c r="BZ123" s="323"/>
      <c r="CA123" s="157"/>
      <c r="CB123" s="327"/>
      <c r="CC123" s="327"/>
      <c r="CD123" s="327"/>
      <c r="CE123" s="327"/>
      <c r="CF123" s="327"/>
      <c r="CG123" s="327"/>
      <c r="CH123" s="327"/>
      <c r="CI123" s="327"/>
      <c r="CJ123" s="327"/>
      <c r="CK123" s="327"/>
      <c r="CL123" s="327"/>
      <c r="CM123" s="327"/>
      <c r="CN123" s="327"/>
      <c r="CO123" s="327"/>
      <c r="CP123" s="327"/>
      <c r="CQ123" s="327"/>
      <c r="CR123" s="327"/>
      <c r="CS123" s="327"/>
      <c r="CT123" s="327"/>
      <c r="CU123" s="327"/>
      <c r="CV123" s="327"/>
      <c r="CW123" s="327"/>
      <c r="CX123" s="327"/>
    </row>
    <row r="124" spans="2:102" ht="18" x14ac:dyDescent="0.25">
      <c r="B124" s="276" t="s">
        <v>55</v>
      </c>
      <c r="C124" s="274" t="s">
        <v>547</v>
      </c>
      <c r="D124" s="274"/>
      <c r="E124" s="275"/>
      <c r="F124" s="290">
        <f>F122+F123</f>
        <v>343.53473580131794</v>
      </c>
      <c r="G124" s="597"/>
      <c r="H124" s="290">
        <f>IF($D$77=0,0,((((F124*$F$77)/$D$77)*1000*$F$131)/$E$131))</f>
        <v>0</v>
      </c>
      <c r="I124" s="343"/>
      <c r="J124" s="343"/>
      <c r="BZ124" s="323"/>
      <c r="CA124" s="157"/>
      <c r="CB124" s="327"/>
      <c r="CC124" s="327"/>
      <c r="CD124" s="327"/>
      <c r="CE124" s="327"/>
      <c r="CF124" s="327"/>
      <c r="CG124" s="327"/>
      <c r="CH124" s="327"/>
      <c r="CI124" s="327"/>
      <c r="CJ124" s="327"/>
      <c r="CK124" s="327"/>
      <c r="CL124" s="327"/>
      <c r="CM124" s="327"/>
      <c r="CN124" s="327"/>
      <c r="CO124" s="327"/>
      <c r="CP124" s="327"/>
      <c r="CQ124" s="327"/>
      <c r="CR124" s="327"/>
      <c r="CS124" s="327"/>
      <c r="CT124" s="327"/>
      <c r="CU124" s="327"/>
      <c r="CV124" s="327"/>
      <c r="CW124" s="327"/>
      <c r="CX124" s="327"/>
    </row>
    <row r="125" spans="2:102" ht="6" customHeight="1" x14ac:dyDescent="0.25">
      <c r="D125" s="324"/>
      <c r="E125" s="324"/>
      <c r="F125" s="321"/>
      <c r="G125" s="321"/>
      <c r="H125" s="325"/>
      <c r="I125" s="88"/>
      <c r="J125" s="88"/>
      <c r="K125" s="88"/>
      <c r="BZ125" s="323"/>
      <c r="CA125" s="157"/>
      <c r="CB125" s="327"/>
      <c r="CC125" s="327"/>
      <c r="CD125" s="327"/>
      <c r="CE125" s="327"/>
      <c r="CF125" s="327"/>
      <c r="CG125" s="327"/>
      <c r="CH125" s="327"/>
      <c r="CI125" s="327"/>
      <c r="CJ125" s="327"/>
      <c r="CK125" s="327"/>
      <c r="CL125" s="327"/>
      <c r="CM125" s="327"/>
      <c r="CN125" s="327"/>
      <c r="CO125" s="327"/>
      <c r="CP125" s="327"/>
      <c r="CQ125" s="327"/>
      <c r="CR125" s="327"/>
      <c r="CS125" s="327"/>
      <c r="CT125" s="327"/>
      <c r="CU125" s="327"/>
      <c r="CV125" s="327"/>
      <c r="CW125" s="327"/>
      <c r="CX125" s="327"/>
    </row>
    <row r="126" spans="2:102" ht="18" x14ac:dyDescent="0.25">
      <c r="B126" s="276" t="s">
        <v>55</v>
      </c>
      <c r="C126" s="274" t="s">
        <v>584</v>
      </c>
      <c r="D126" s="274"/>
      <c r="E126" s="275"/>
      <c r="F126" s="290">
        <f>IF(OR(Biodiesel!$D$86=0,Biodiesel!$D$88=0),0,(F124*F77/$D$77))</f>
        <v>0</v>
      </c>
      <c r="G126" s="597"/>
      <c r="H126" s="326"/>
      <c r="I126" s="88"/>
      <c r="J126" s="88"/>
      <c r="K126" s="88"/>
      <c r="BZ126" s="323"/>
      <c r="CA126" s="157"/>
      <c r="CB126" s="327"/>
      <c r="CC126" s="327"/>
      <c r="CD126" s="327"/>
      <c r="CE126" s="327"/>
      <c r="CF126" s="327"/>
      <c r="CG126" s="327"/>
      <c r="CH126" s="327"/>
      <c r="CI126" s="327"/>
      <c r="CJ126" s="327"/>
      <c r="CK126" s="327"/>
      <c r="CL126" s="327"/>
      <c r="CM126" s="327"/>
      <c r="CN126" s="327"/>
      <c r="CO126" s="327"/>
      <c r="CP126" s="327"/>
      <c r="CQ126" s="327"/>
      <c r="CR126" s="327"/>
      <c r="CS126" s="327"/>
      <c r="CT126" s="327"/>
      <c r="CU126" s="327"/>
      <c r="CV126" s="327"/>
      <c r="CW126" s="327"/>
      <c r="CX126" s="327"/>
    </row>
    <row r="127" spans="2:102" x14ac:dyDescent="0.25">
      <c r="B127" s="327"/>
      <c r="C127" s="328"/>
      <c r="E127" s="327"/>
      <c r="F127" s="327"/>
      <c r="G127" s="327"/>
      <c r="H127" s="85"/>
      <c r="BX127" s="323"/>
      <c r="BY127" s="157"/>
      <c r="BZ127" s="327"/>
      <c r="CA127" s="327"/>
      <c r="CB127" s="327"/>
      <c r="CC127" s="327"/>
      <c r="CD127" s="327"/>
      <c r="CE127" s="327"/>
      <c r="CF127" s="327"/>
      <c r="CG127" s="327"/>
      <c r="CH127" s="327"/>
      <c r="CI127" s="327"/>
      <c r="CJ127" s="327"/>
      <c r="CK127" s="327"/>
      <c r="CL127" s="327"/>
      <c r="CM127" s="327"/>
      <c r="CN127" s="327"/>
      <c r="CO127" s="327"/>
      <c r="CP127" s="327"/>
      <c r="CQ127" s="327"/>
      <c r="CR127" s="327"/>
      <c r="CS127" s="327"/>
      <c r="CT127" s="327"/>
      <c r="CU127" s="327"/>
      <c r="CV127" s="327"/>
    </row>
    <row r="128" spans="2:102" x14ac:dyDescent="0.25">
      <c r="B128" s="327"/>
      <c r="C128" s="328"/>
      <c r="E128" s="327"/>
      <c r="F128" s="327"/>
      <c r="G128" s="327"/>
      <c r="H128" s="85"/>
      <c r="BX128" s="323"/>
      <c r="BY128" s="157"/>
      <c r="BZ128" s="327"/>
      <c r="CA128" s="327"/>
      <c r="CB128" s="327"/>
      <c r="CC128" s="327"/>
      <c r="CD128" s="327"/>
      <c r="CE128" s="327"/>
      <c r="CF128" s="327"/>
      <c r="CG128" s="327"/>
      <c r="CH128" s="327"/>
      <c r="CI128" s="327"/>
      <c r="CJ128" s="327"/>
      <c r="CK128" s="327"/>
      <c r="CL128" s="327"/>
      <c r="CM128" s="327"/>
      <c r="CN128" s="327"/>
      <c r="CO128" s="327"/>
      <c r="CP128" s="327"/>
      <c r="CQ128" s="327"/>
      <c r="CR128" s="327"/>
      <c r="CS128" s="327"/>
      <c r="CT128" s="327"/>
      <c r="CU128" s="327"/>
      <c r="CV128" s="327"/>
    </row>
    <row r="129" spans="2:101" ht="18.75" x14ac:dyDescent="0.25">
      <c r="B129" s="751" t="s">
        <v>591</v>
      </c>
      <c r="C129" s="751"/>
      <c r="D129" s="751"/>
      <c r="E129" s="751"/>
      <c r="F129" s="751"/>
      <c r="G129" s="453"/>
      <c r="H129" s="740" t="s">
        <v>938</v>
      </c>
      <c r="BX129" s="323" t="e">
        <f>F126*CB134</f>
        <v>#DIV/0!</v>
      </c>
      <c r="BY129" s="157"/>
      <c r="BZ129" s="327"/>
      <c r="CA129" s="327"/>
      <c r="CB129" s="327"/>
      <c r="CC129" s="327"/>
      <c r="CD129" s="327"/>
      <c r="CE129" s="327"/>
      <c r="CF129" s="327"/>
      <c r="CG129" s="327"/>
      <c r="CH129" s="327"/>
      <c r="CI129" s="327"/>
      <c r="CJ129" s="327"/>
      <c r="CK129" s="327"/>
      <c r="CL129" s="327"/>
      <c r="CM129" s="327"/>
      <c r="CN129" s="327"/>
      <c r="CO129" s="327"/>
      <c r="CP129" s="327"/>
      <c r="CQ129" s="327"/>
      <c r="CR129" s="327"/>
      <c r="CS129" s="327"/>
      <c r="CT129" s="327"/>
      <c r="CU129" s="327"/>
      <c r="CV129" s="327"/>
    </row>
    <row r="130" spans="2:101" ht="18" x14ac:dyDescent="0.25">
      <c r="B130" s="279" t="s">
        <v>495</v>
      </c>
      <c r="C130" s="280" t="s">
        <v>0</v>
      </c>
      <c r="D130" s="280" t="s">
        <v>695</v>
      </c>
      <c r="E130" s="280" t="s">
        <v>29</v>
      </c>
      <c r="F130" s="280" t="s">
        <v>330</v>
      </c>
      <c r="G130" s="583"/>
      <c r="H130" s="740"/>
      <c r="I130" s="88"/>
      <c r="BY130" s="327"/>
      <c r="BZ130" s="347"/>
      <c r="CA130" s="327"/>
      <c r="CB130" s="327"/>
      <c r="CC130" s="327"/>
      <c r="CD130" s="327"/>
      <c r="CE130" s="327"/>
      <c r="CF130" s="327"/>
      <c r="CG130" s="327"/>
      <c r="CH130" s="327"/>
      <c r="CI130" s="327"/>
      <c r="CJ130" s="327"/>
      <c r="CK130" s="327"/>
      <c r="CL130" s="327"/>
      <c r="CM130" s="327"/>
      <c r="CN130" s="327"/>
      <c r="CO130" s="327"/>
      <c r="CP130" s="327"/>
      <c r="CQ130" s="327"/>
      <c r="CR130" s="327"/>
      <c r="CS130" s="327"/>
      <c r="CT130" s="327"/>
      <c r="CU130" s="327"/>
      <c r="CV130" s="327"/>
      <c r="CW130" s="327"/>
    </row>
    <row r="131" spans="2:101" x14ac:dyDescent="0.25">
      <c r="B131" s="273" t="s">
        <v>123</v>
      </c>
      <c r="C131" s="273" t="s">
        <v>1</v>
      </c>
      <c r="D131" s="344" t="e">
        <f>(Biodiesel!D163*'Dados auxiliares'!$D$17)*1000/((Biodiesel!$D$132+Biodiesel!$D$136+Biodiesel!$D$140+Biodiesel!$D$144+Biodiesel!$D$148+Biodiesel!$D$152+Biodiesel!$D$155+Biodiesel!$D$158))</f>
        <v>#DIV/0!</v>
      </c>
      <c r="E131" s="344" t="e">
        <f>D131*'Dados auxiliares'!$F$17</f>
        <v>#DIV/0!</v>
      </c>
      <c r="F131" s="258" t="e">
        <f>E131/SUM($E$131:$E$133)</f>
        <v>#DIV/0!</v>
      </c>
      <c r="G131" s="585"/>
      <c r="H131" s="740"/>
      <c r="I131" s="88"/>
      <c r="BY131" s="348"/>
      <c r="BZ131" s="327"/>
      <c r="CA131" s="327"/>
      <c r="CB131" s="327"/>
      <c r="CC131" s="327"/>
      <c r="CD131" s="327"/>
      <c r="CE131" s="327"/>
      <c r="CF131" s="327"/>
      <c r="CG131" s="327"/>
      <c r="CH131" s="327"/>
      <c r="CI131" s="327"/>
      <c r="CJ131" s="327"/>
      <c r="CK131" s="327"/>
      <c r="CL131" s="327"/>
      <c r="CM131" s="327"/>
      <c r="CN131" s="327"/>
      <c r="CO131" s="327"/>
      <c r="CP131" s="327"/>
      <c r="CQ131" s="327"/>
      <c r="CR131" s="327"/>
      <c r="CS131" s="327"/>
      <c r="CT131" s="327"/>
      <c r="CU131" s="327"/>
      <c r="CV131" s="327"/>
      <c r="CW131" s="327"/>
    </row>
    <row r="132" spans="2:101" x14ac:dyDescent="0.25">
      <c r="B132" s="273" t="s">
        <v>589</v>
      </c>
      <c r="C132" s="273" t="s">
        <v>1</v>
      </c>
      <c r="D132" s="344" t="e">
        <f>Biodiesel!D164*1000/((Biodiesel!$D$132+Biodiesel!$D$136+Biodiesel!$D$140+Biodiesel!$D$144+Biodiesel!$D$148+Biodiesel!$D$152+Biodiesel!$D$155+Biodiesel!$D$158))</f>
        <v>#DIV/0!</v>
      </c>
      <c r="E132" s="344" t="e">
        <f>D132*'Dados auxiliares'!$D$44</f>
        <v>#DIV/0!</v>
      </c>
      <c r="F132" s="258" t="e">
        <f>E132/SUM($E$131:$E$133)</f>
        <v>#DIV/0!</v>
      </c>
      <c r="G132" s="585"/>
      <c r="H132" s="740"/>
      <c r="I132" s="88"/>
      <c r="BY132" s="323"/>
      <c r="BZ132" s="327"/>
      <c r="CA132" s="327"/>
      <c r="CB132" s="327"/>
      <c r="CC132" s="327"/>
      <c r="CD132" s="327"/>
      <c r="CE132" s="327"/>
      <c r="CF132" s="327"/>
      <c r="CG132" s="327"/>
      <c r="CH132" s="327"/>
      <c r="CI132" s="327"/>
      <c r="CJ132" s="327"/>
      <c r="CK132" s="327"/>
      <c r="CL132" s="327"/>
      <c r="CM132" s="327"/>
      <c r="CN132" s="327"/>
      <c r="CO132" s="327"/>
      <c r="CP132" s="327"/>
      <c r="CQ132" s="327"/>
      <c r="CR132" s="327"/>
      <c r="CS132" s="327"/>
      <c r="CT132" s="327"/>
      <c r="CU132" s="327"/>
      <c r="CV132" s="327"/>
      <c r="CW132" s="327"/>
    </row>
    <row r="133" spans="2:101" ht="15" customHeight="1" x14ac:dyDescent="0.25">
      <c r="B133" s="273" t="s">
        <v>590</v>
      </c>
      <c r="C133" s="273" t="s">
        <v>1</v>
      </c>
      <c r="D133" s="344" t="e">
        <f>Biodiesel!D165*1000/((Biodiesel!$D$132+Biodiesel!$D$136+Biodiesel!$D$140+Biodiesel!$D$144+Biodiesel!$D$148+Biodiesel!$D$152+Biodiesel!$D$155+Biodiesel!$D$158))</f>
        <v>#DIV/0!</v>
      </c>
      <c r="E133" s="344" t="e">
        <f>D133*'Dados auxiliares'!$D$45</f>
        <v>#DIV/0!</v>
      </c>
      <c r="F133" s="258" t="e">
        <f>E133/SUM($E$131:$E$133)</f>
        <v>#DIV/0!</v>
      </c>
      <c r="G133" s="585"/>
      <c r="H133" s="740"/>
      <c r="I133" s="88"/>
      <c r="J133" s="750" t="s">
        <v>995</v>
      </c>
      <c r="K133" s="750" t="s">
        <v>1009</v>
      </c>
      <c r="L133" s="750" t="s">
        <v>998</v>
      </c>
      <c r="M133" s="750" t="s">
        <v>1003</v>
      </c>
      <c r="N133" s="750"/>
      <c r="O133" s="750" t="s">
        <v>1006</v>
      </c>
      <c r="P133" s="71"/>
      <c r="Q133" s="750" t="s">
        <v>1010</v>
      </c>
      <c r="R133" s="71"/>
      <c r="BY133" s="323"/>
      <c r="BZ133" s="327"/>
      <c r="CA133" s="327"/>
      <c r="CB133" s="327"/>
      <c r="CC133" s="327"/>
      <c r="CD133" s="327"/>
      <c r="CE133" s="327"/>
      <c r="CF133" s="327"/>
      <c r="CG133" s="327"/>
      <c r="CH133" s="327"/>
      <c r="CI133" s="327"/>
      <c r="CJ133" s="327"/>
      <c r="CK133" s="327"/>
      <c r="CL133" s="327"/>
      <c r="CM133" s="327"/>
      <c r="CN133" s="327"/>
      <c r="CO133" s="327"/>
      <c r="CP133" s="327"/>
      <c r="CQ133" s="327"/>
      <c r="CR133" s="327"/>
      <c r="CS133" s="327"/>
      <c r="CT133" s="327"/>
      <c r="CU133" s="327"/>
      <c r="CV133" s="327"/>
      <c r="CW133" s="327"/>
    </row>
    <row r="134" spans="2:101" ht="18" customHeight="1" x14ac:dyDescent="0.25">
      <c r="B134" s="281" t="s">
        <v>58</v>
      </c>
      <c r="C134" s="280" t="s">
        <v>0</v>
      </c>
      <c r="D134" s="387" t="s">
        <v>695</v>
      </c>
      <c r="E134" s="282"/>
      <c r="F134" s="283" t="s">
        <v>990</v>
      </c>
      <c r="G134" s="272"/>
      <c r="H134" s="283" t="s">
        <v>535</v>
      </c>
      <c r="I134" s="88"/>
      <c r="J134" s="750"/>
      <c r="K134" s="750"/>
      <c r="L134" s="750"/>
      <c r="M134" s="750"/>
      <c r="N134" s="750"/>
      <c r="O134" s="750"/>
      <c r="P134" s="71"/>
      <c r="Q134" s="750"/>
      <c r="R134" s="71"/>
      <c r="BY134" s="349" t="e">
        <v>#REF!</v>
      </c>
      <c r="BZ134" s="327" t="e">
        <f>D131/BY134</f>
        <v>#DIV/0!</v>
      </c>
      <c r="CA134" s="327" t="e">
        <f>BZ134*1000</f>
        <v>#DIV/0!</v>
      </c>
      <c r="CB134" s="327" t="e">
        <f>CA134/D131</f>
        <v>#DIV/0!</v>
      </c>
      <c r="CC134" s="327"/>
      <c r="CD134" s="327"/>
      <c r="CE134" s="327"/>
      <c r="CF134" s="327"/>
      <c r="CG134" s="327"/>
      <c r="CH134" s="327"/>
      <c r="CI134" s="327"/>
      <c r="CJ134" s="327"/>
      <c r="CK134" s="327"/>
      <c r="CL134" s="327"/>
      <c r="CM134" s="327"/>
      <c r="CN134" s="327"/>
      <c r="CO134" s="327"/>
      <c r="CP134" s="327"/>
      <c r="CQ134" s="327"/>
      <c r="CR134" s="327"/>
      <c r="CS134" s="327"/>
      <c r="CT134" s="327"/>
      <c r="CU134" s="327"/>
      <c r="CV134" s="327"/>
      <c r="CW134" s="327"/>
    </row>
    <row r="135" spans="2:101" ht="18" x14ac:dyDescent="0.25">
      <c r="B135" s="284" t="s">
        <v>691</v>
      </c>
      <c r="C135" s="285"/>
      <c r="D135" s="285"/>
      <c r="E135" s="288"/>
      <c r="F135" s="289"/>
      <c r="G135" s="593"/>
      <c r="H135" s="289"/>
      <c r="I135" s="88"/>
      <c r="J135" s="283"/>
      <c r="K135" s="283" t="s">
        <v>991</v>
      </c>
      <c r="L135" s="283"/>
      <c r="M135" s="283" t="s">
        <v>1004</v>
      </c>
      <c r="N135" s="283" t="s">
        <v>1005</v>
      </c>
      <c r="O135" s="283" t="s">
        <v>1007</v>
      </c>
      <c r="P135" s="71"/>
      <c r="Q135" s="283"/>
      <c r="R135" s="71"/>
      <c r="BY135" s="349"/>
      <c r="BZ135" s="327"/>
      <c r="CA135" s="327"/>
      <c r="CB135" s="327"/>
      <c r="CC135" s="327"/>
      <c r="CD135" s="327"/>
      <c r="CE135" s="327"/>
      <c r="CF135" s="327"/>
      <c r="CG135" s="327"/>
      <c r="CH135" s="327"/>
      <c r="CI135" s="327"/>
      <c r="CJ135" s="327"/>
      <c r="CK135" s="327"/>
      <c r="CL135" s="327"/>
      <c r="CM135" s="327"/>
      <c r="CN135" s="327"/>
      <c r="CO135" s="327"/>
      <c r="CP135" s="327"/>
      <c r="CQ135" s="327"/>
      <c r="CR135" s="327"/>
      <c r="CS135" s="327"/>
      <c r="CT135" s="327"/>
      <c r="CU135" s="327"/>
      <c r="CV135" s="327"/>
      <c r="CW135" s="327"/>
    </row>
    <row r="136" spans="2:101" ht="18" x14ac:dyDescent="0.25">
      <c r="B136" s="273" t="s">
        <v>912</v>
      </c>
      <c r="C136" s="273" t="s">
        <v>138</v>
      </c>
      <c r="D136" s="278" t="e">
        <f>Biodiesel!$D$132/((Biodiesel!$D$132+Biodiesel!$D$136+Biodiesel!$D$140+Biodiesel!$D$144+Biodiesel!$D$148+Biodiesel!$D$152+Biodiesel!$D$155+Biodiesel!$D$158))</f>
        <v>#DIV/0!</v>
      </c>
      <c r="E136" s="259"/>
      <c r="F136" s="666" t="e">
        <f>D136*Q136*1000</f>
        <v>#DIV/0!</v>
      </c>
      <c r="G136" s="595"/>
      <c r="H136" s="550" t="e">
        <f>(F136*$F$131)/$E$131</f>
        <v>#DIV/0!</v>
      </c>
      <c r="I136" s="329"/>
      <c r="J136" s="278">
        <f>Biodiesel!D134</f>
        <v>0</v>
      </c>
      <c r="K136" s="278">
        <f>$F$126</f>
        <v>0</v>
      </c>
      <c r="L136" s="674" t="s">
        <v>584</v>
      </c>
      <c r="M136" s="278" t="e">
        <f>D136*IF(J136="Sim",1,0)</f>
        <v>#DIV/0!</v>
      </c>
      <c r="N136" s="548" t="e">
        <f>M136/$M$152</f>
        <v>#DIV/0!</v>
      </c>
      <c r="O136" s="278" t="e">
        <f>N136*K136</f>
        <v>#DIV/0!</v>
      </c>
      <c r="P136" s="71"/>
      <c r="Q136" s="301" t="e">
        <f>IF(J136="Sim",K136,$O$152)</f>
        <v>#DIV/0!</v>
      </c>
      <c r="R136" s="71"/>
      <c r="BY136" s="350"/>
      <c r="BZ136" s="327"/>
      <c r="CA136" s="327"/>
      <c r="CB136" s="327"/>
      <c r="CC136" s="327"/>
      <c r="CD136" s="327"/>
      <c r="CE136" s="327"/>
      <c r="CF136" s="327"/>
      <c r="CG136" s="327"/>
      <c r="CH136" s="327"/>
      <c r="CI136" s="327"/>
      <c r="CJ136" s="327"/>
      <c r="CK136" s="327"/>
      <c r="CL136" s="327"/>
      <c r="CM136" s="327"/>
      <c r="CN136" s="327"/>
      <c r="CO136" s="327"/>
      <c r="CP136" s="327"/>
      <c r="CQ136" s="327"/>
      <c r="CR136" s="327"/>
      <c r="CS136" s="327"/>
      <c r="CT136" s="327"/>
      <c r="CU136" s="327"/>
      <c r="CV136" s="327"/>
      <c r="CW136" s="327"/>
    </row>
    <row r="137" spans="2:101" x14ac:dyDescent="0.25">
      <c r="B137" s="273" t="s">
        <v>692</v>
      </c>
      <c r="C137" s="273" t="s">
        <v>47</v>
      </c>
      <c r="D137" s="294" t="e">
        <f>D136*Biodiesel!$D$133</f>
        <v>#DIV/0!</v>
      </c>
      <c r="E137" s="259"/>
      <c r="F137" s="294" t="e">
        <f>D137*'Dados auxiliares'!$H$132</f>
        <v>#DIV/0!</v>
      </c>
      <c r="G137" s="595"/>
      <c r="H137" s="550" t="e">
        <f t="shared" ref="H137:H191" si="10">(F137*$F$131)/$E$131</f>
        <v>#DIV/0!</v>
      </c>
      <c r="J137" s="250"/>
      <c r="K137" s="71"/>
      <c r="L137" s="71"/>
      <c r="M137" s="71"/>
      <c r="N137" s="675"/>
      <c r="O137" s="71"/>
      <c r="P137" s="71"/>
      <c r="Q137" s="464"/>
      <c r="R137" s="71"/>
    </row>
    <row r="138" spans="2:101" ht="18" x14ac:dyDescent="0.25">
      <c r="B138" s="273" t="s">
        <v>913</v>
      </c>
      <c r="C138" s="273" t="s">
        <v>138</v>
      </c>
      <c r="D138" s="278" t="e">
        <f>Biodiesel!$D$136/((Biodiesel!$D$132+Biodiesel!$D$136+Biodiesel!$D$140+Biodiesel!$D$144+Biodiesel!$D$148+Biodiesel!$D$152+Biodiesel!$D$155+Biodiesel!$D$158))</f>
        <v>#DIV/0!</v>
      </c>
      <c r="E138" s="259"/>
      <c r="F138" s="666" t="e">
        <f>D138*Q138*1000</f>
        <v>#DIV/0!</v>
      </c>
      <c r="G138" s="595"/>
      <c r="H138" s="550" t="e">
        <f>(F138*$F$131)/$E$131</f>
        <v>#DIV/0!</v>
      </c>
      <c r="J138" s="278">
        <f>Biodiesel!D138</f>
        <v>0</v>
      </c>
      <c r="K138" s="278">
        <f>Biodiesel!$G$136</f>
        <v>0</v>
      </c>
      <c r="L138" s="674" t="s">
        <v>992</v>
      </c>
      <c r="M138" s="278" t="e">
        <f>D138*IF(J138="Sim",1,0)</f>
        <v>#DIV/0!</v>
      </c>
      <c r="N138" s="548" t="e">
        <f>M138/$M$152</f>
        <v>#DIV/0!</v>
      </c>
      <c r="O138" s="278" t="e">
        <f>N138*K138</f>
        <v>#DIV/0!</v>
      </c>
      <c r="P138" s="71"/>
      <c r="Q138" s="301" t="e">
        <f>IF(J138="Sim",K138,$O$152)</f>
        <v>#DIV/0!</v>
      </c>
      <c r="R138" s="71"/>
    </row>
    <row r="139" spans="2:101" x14ac:dyDescent="0.25">
      <c r="B139" s="273" t="s">
        <v>692</v>
      </c>
      <c r="C139" s="273" t="s">
        <v>47</v>
      </c>
      <c r="D139" s="294" t="e">
        <f>D138*Biodiesel!$D$137</f>
        <v>#DIV/0!</v>
      </c>
      <c r="E139" s="259"/>
      <c r="F139" s="294" t="e">
        <f>D139*'Dados auxiliares'!$H$132</f>
        <v>#DIV/0!</v>
      </c>
      <c r="G139" s="595"/>
      <c r="H139" s="550" t="e">
        <f t="shared" si="10"/>
        <v>#DIV/0!</v>
      </c>
      <c r="J139" s="250"/>
      <c r="K139" s="250"/>
      <c r="L139" s="250"/>
      <c r="M139" s="250"/>
      <c r="N139" s="676"/>
      <c r="O139" s="250"/>
      <c r="P139" s="71"/>
      <c r="Q139" s="679"/>
      <c r="R139" s="71"/>
    </row>
    <row r="140" spans="2:101" ht="18" x14ac:dyDescent="0.25">
      <c r="B140" s="273" t="s">
        <v>665</v>
      </c>
      <c r="C140" s="273" t="s">
        <v>138</v>
      </c>
      <c r="D140" s="609" t="e">
        <f>Biodiesel!$D$140/((Biodiesel!$D$132+Biodiesel!$D$136+Biodiesel!$D$140+Biodiesel!$D$144+Biodiesel!$D$148+Biodiesel!$D$152+Biodiesel!$D$155+Biodiesel!$D$158))</f>
        <v>#DIV/0!</v>
      </c>
      <c r="E140" s="259"/>
      <c r="F140" s="666" t="e">
        <f>D140*Q140*1000</f>
        <v>#DIV/0!</v>
      </c>
      <c r="G140" s="595"/>
      <c r="H140" s="550" t="e">
        <f t="shared" si="10"/>
        <v>#DIV/0!</v>
      </c>
      <c r="J140" s="278">
        <f>Biodiesel!D142</f>
        <v>0</v>
      </c>
      <c r="K140" s="278">
        <f>'Dados auxiliares'!$H$104</f>
        <v>589.61661054634703</v>
      </c>
      <c r="L140" s="674" t="s">
        <v>993</v>
      </c>
      <c r="M140" s="278" t="e">
        <f>D140*IF(J140="Sim",1,0)</f>
        <v>#DIV/0!</v>
      </c>
      <c r="N140" s="548" t="e">
        <f>M140/$M$152</f>
        <v>#DIV/0!</v>
      </c>
      <c r="O140" s="278" t="e">
        <f>N140*K140</f>
        <v>#DIV/0!</v>
      </c>
      <c r="P140" s="71"/>
      <c r="Q140" s="301" t="e">
        <f>IF(J140="Sim",K140,$O$152)</f>
        <v>#DIV/0!</v>
      </c>
      <c r="R140" s="71"/>
    </row>
    <row r="141" spans="2:101" x14ac:dyDescent="0.25">
      <c r="B141" s="273" t="s">
        <v>693</v>
      </c>
      <c r="C141" s="273" t="s">
        <v>47</v>
      </c>
      <c r="D141" s="605" t="e">
        <f>D140*Biodiesel!$D$141</f>
        <v>#DIV/0!</v>
      </c>
      <c r="E141" s="259"/>
      <c r="F141" s="605" t="e">
        <f>D141*'Dados auxiliares'!$H$132</f>
        <v>#DIV/0!</v>
      </c>
      <c r="G141" s="595"/>
      <c r="H141" s="550" t="e">
        <f t="shared" si="10"/>
        <v>#DIV/0!</v>
      </c>
      <c r="J141" s="250"/>
      <c r="K141" s="71"/>
      <c r="L141" s="71"/>
      <c r="M141" s="71"/>
      <c r="N141" s="675"/>
      <c r="O141" s="71"/>
      <c r="P141" s="71"/>
      <c r="Q141" s="464"/>
      <c r="R141" s="71"/>
    </row>
    <row r="142" spans="2:101" ht="18" x14ac:dyDescent="0.25">
      <c r="B142" s="273" t="s">
        <v>664</v>
      </c>
      <c r="C142" s="273" t="s">
        <v>138</v>
      </c>
      <c r="D142" s="609" t="e">
        <f>Biodiesel!$D$144/((Biodiesel!$D$132+Biodiesel!$D$136+Biodiesel!$D$140+Biodiesel!$D$144+Biodiesel!$D$148+Biodiesel!$D$152+Biodiesel!$D$155+Biodiesel!$D$158))</f>
        <v>#DIV/0!</v>
      </c>
      <c r="E142" s="259"/>
      <c r="F142" s="666" t="e">
        <f>D142*Q142*1000</f>
        <v>#DIV/0!</v>
      </c>
      <c r="G142" s="595"/>
      <c r="H142" s="550" t="e">
        <f t="shared" si="10"/>
        <v>#DIV/0!</v>
      </c>
      <c r="J142" s="278">
        <f>Biodiesel!D146</f>
        <v>0</v>
      </c>
      <c r="K142" s="278">
        <f>'Dados auxiliares'!$H$103</f>
        <v>2214.9587956516107</v>
      </c>
      <c r="L142" s="674" t="s">
        <v>994</v>
      </c>
      <c r="M142" s="278" t="e">
        <f>D142*IF(J142="Sim",1,0)</f>
        <v>#DIV/0!</v>
      </c>
      <c r="N142" s="548" t="e">
        <f>M142/$M$152</f>
        <v>#DIV/0!</v>
      </c>
      <c r="O142" s="278" t="e">
        <f>N142*K142</f>
        <v>#DIV/0!</v>
      </c>
      <c r="P142" s="71"/>
      <c r="Q142" s="301" t="e">
        <f>IF(J142="Sim",K142,$O$152)</f>
        <v>#DIV/0!</v>
      </c>
      <c r="R142" s="71"/>
    </row>
    <row r="143" spans="2:101" x14ac:dyDescent="0.25">
      <c r="B143" s="273" t="s">
        <v>694</v>
      </c>
      <c r="C143" s="273" t="s">
        <v>47</v>
      </c>
      <c r="D143" s="605" t="e">
        <f>D142*Biodiesel!$D$145</f>
        <v>#DIV/0!</v>
      </c>
      <c r="E143" s="259"/>
      <c r="F143" s="605" t="e">
        <f>D143*'Dados auxiliares'!$H$132</f>
        <v>#DIV/0!</v>
      </c>
      <c r="G143" s="595"/>
      <c r="H143" s="550" t="e">
        <f t="shared" si="10"/>
        <v>#DIV/0!</v>
      </c>
      <c r="J143" s="250"/>
      <c r="K143" s="71"/>
      <c r="L143" s="71"/>
      <c r="M143" s="71"/>
      <c r="N143" s="675"/>
      <c r="O143" s="71"/>
      <c r="P143" s="71"/>
      <c r="Q143" s="464"/>
      <c r="R143" s="71"/>
    </row>
    <row r="144" spans="2:101" ht="18" x14ac:dyDescent="0.25">
      <c r="B144" s="273" t="s">
        <v>688</v>
      </c>
      <c r="C144" s="273" t="s">
        <v>138</v>
      </c>
      <c r="D144" s="609" t="e">
        <f>Biodiesel!$D$148/((Biodiesel!$D$132+Biodiesel!$D$136+Biodiesel!$D$140+Biodiesel!$D$144+Biodiesel!$D$148+Biodiesel!$D$152+Biodiesel!$D$155+Biodiesel!$D$158))</f>
        <v>#DIV/0!</v>
      </c>
      <c r="E144" s="259"/>
      <c r="F144" s="666" t="e">
        <f>D144*Q144*1000</f>
        <v>#DIV/0!</v>
      </c>
      <c r="G144" s="595"/>
      <c r="H144" s="550" t="e">
        <f t="shared" si="10"/>
        <v>#DIV/0!</v>
      </c>
      <c r="J144" s="278">
        <f>Biodiesel!D150</f>
        <v>0</v>
      </c>
      <c r="K144" s="278">
        <f>'Dados auxiliares'!$H$105</f>
        <v>2214.9587956516107</v>
      </c>
      <c r="L144" s="674" t="s">
        <v>999</v>
      </c>
      <c r="M144" s="278" t="e">
        <f>D144*IF(J144="Sim",1,0)</f>
        <v>#DIV/0!</v>
      </c>
      <c r="N144" s="548" t="e">
        <f>M144/$M$152</f>
        <v>#DIV/0!</v>
      </c>
      <c r="O144" s="278" t="e">
        <f>N144*K144</f>
        <v>#DIV/0!</v>
      </c>
      <c r="P144" s="71"/>
      <c r="Q144" s="301" t="e">
        <f>IF(J144="Sim",K144,$O$152)</f>
        <v>#DIV/0!</v>
      </c>
      <c r="R144" s="71"/>
    </row>
    <row r="145" spans="2:101" x14ac:dyDescent="0.25">
      <c r="B145" s="273" t="s">
        <v>696</v>
      </c>
      <c r="C145" s="273" t="s">
        <v>47</v>
      </c>
      <c r="D145" s="605" t="e">
        <f>D144*Biodiesel!$D$149</f>
        <v>#DIV/0!</v>
      </c>
      <c r="E145" s="259"/>
      <c r="F145" s="294" t="e">
        <f>D145*'Dados auxiliares'!$H$132</f>
        <v>#DIV/0!</v>
      </c>
      <c r="G145" s="595"/>
      <c r="H145" s="550" t="e">
        <f t="shared" si="10"/>
        <v>#DIV/0!</v>
      </c>
      <c r="J145" s="250"/>
      <c r="K145" s="71"/>
      <c r="L145" s="71"/>
      <c r="M145" s="71"/>
      <c r="N145" s="675"/>
      <c r="O145" s="71"/>
      <c r="P145" s="71"/>
      <c r="Q145" s="464"/>
      <c r="R145" s="71"/>
    </row>
    <row r="146" spans="2:101" ht="18" x14ac:dyDescent="0.25">
      <c r="B146" s="273" t="s">
        <v>690</v>
      </c>
      <c r="C146" s="273" t="s">
        <v>138</v>
      </c>
      <c r="D146" s="609" t="e">
        <f>Biodiesel!$D$152/((Biodiesel!$D$132+Biodiesel!$D$136+Biodiesel!$D$140+Biodiesel!$D$144+Biodiesel!$D$148+Biodiesel!$D$152+Biodiesel!$D$155+Biodiesel!$D$158))</f>
        <v>#DIV/0!</v>
      </c>
      <c r="E146" s="259"/>
      <c r="F146" s="407">
        <v>0</v>
      </c>
      <c r="G146" s="610"/>
      <c r="H146" s="550" t="e">
        <f t="shared" si="10"/>
        <v>#DIV/0!</v>
      </c>
      <c r="J146" s="277" t="s">
        <v>5</v>
      </c>
      <c r="K146" s="278">
        <f>F146</f>
        <v>0</v>
      </c>
      <c r="L146" s="674" t="s">
        <v>1002</v>
      </c>
      <c r="M146" s="278" t="e">
        <f>D146</f>
        <v>#DIV/0!</v>
      </c>
      <c r="N146" s="548" t="e">
        <f>M146/$M$152</f>
        <v>#DIV/0!</v>
      </c>
      <c r="O146" s="278" t="e">
        <f>N146*K146</f>
        <v>#DIV/0!</v>
      </c>
      <c r="P146" s="71"/>
      <c r="Q146" s="301">
        <f>K146</f>
        <v>0</v>
      </c>
      <c r="R146" s="71"/>
    </row>
    <row r="147" spans="2:101" x14ac:dyDescent="0.25">
      <c r="B147" s="273" t="s">
        <v>698</v>
      </c>
      <c r="C147" s="273" t="s">
        <v>47</v>
      </c>
      <c r="D147" s="605" t="e">
        <f>D146*Biodiesel!$D$153</f>
        <v>#DIV/0!</v>
      </c>
      <c r="E147" s="259"/>
      <c r="F147" s="294" t="e">
        <f>D147*'Dados auxiliares'!$H$132</f>
        <v>#DIV/0!</v>
      </c>
      <c r="G147" s="595"/>
      <c r="H147" s="550" t="e">
        <f t="shared" si="10"/>
        <v>#DIV/0!</v>
      </c>
      <c r="J147" s="71"/>
      <c r="K147" s="71"/>
      <c r="L147" s="71"/>
      <c r="M147" s="71"/>
      <c r="N147" s="675"/>
      <c r="O147" s="71"/>
      <c r="P147" s="71"/>
      <c r="Q147" s="464"/>
      <c r="R147" s="71"/>
    </row>
    <row r="148" spans="2:101" ht="18" x14ac:dyDescent="0.25">
      <c r="B148" s="273" t="s">
        <v>699</v>
      </c>
      <c r="C148" s="273" t="s">
        <v>138</v>
      </c>
      <c r="D148" s="609" t="e">
        <f>Biodiesel!$D$155/((Biodiesel!$D$132+Biodiesel!$D$136+Biodiesel!$D$140+Biodiesel!$D$144+Biodiesel!$D$148+Biodiesel!$D$152+Biodiesel!$D$155+Biodiesel!$D$158))</f>
        <v>#DIV/0!</v>
      </c>
      <c r="E148" s="259"/>
      <c r="F148" s="407">
        <v>0</v>
      </c>
      <c r="G148" s="610"/>
      <c r="H148" s="550" t="e">
        <f t="shared" si="10"/>
        <v>#DIV/0!</v>
      </c>
      <c r="J148" s="277" t="s">
        <v>5</v>
      </c>
      <c r="K148" s="278">
        <f>F148</f>
        <v>0</v>
      </c>
      <c r="L148" s="674" t="s">
        <v>1001</v>
      </c>
      <c r="M148" s="278" t="e">
        <f>D148</f>
        <v>#DIV/0!</v>
      </c>
      <c r="N148" s="548" t="e">
        <f>M148/$M$152</f>
        <v>#DIV/0!</v>
      </c>
      <c r="O148" s="278" t="e">
        <f>N148*K148</f>
        <v>#DIV/0!</v>
      </c>
      <c r="P148" s="71"/>
      <c r="Q148" s="301">
        <f>K148</f>
        <v>0</v>
      </c>
      <c r="R148" s="71"/>
    </row>
    <row r="149" spans="2:101" x14ac:dyDescent="0.25">
      <c r="B149" s="273" t="s">
        <v>700</v>
      </c>
      <c r="C149" s="273" t="s">
        <v>47</v>
      </c>
      <c r="D149" s="605" t="e">
        <f>D148*Biodiesel!$D$156</f>
        <v>#DIV/0!</v>
      </c>
      <c r="E149" s="259"/>
      <c r="F149" s="294" t="e">
        <f>D149*'Dados auxiliares'!$H$132</f>
        <v>#DIV/0!</v>
      </c>
      <c r="G149" s="595"/>
      <c r="H149" s="550" t="e">
        <f t="shared" si="10"/>
        <v>#DIV/0!</v>
      </c>
      <c r="J149" s="250"/>
      <c r="K149" s="71"/>
      <c r="L149" s="71"/>
      <c r="M149" s="71"/>
      <c r="N149" s="675"/>
      <c r="O149" s="71"/>
      <c r="P149" s="71"/>
      <c r="Q149" s="464"/>
      <c r="R149" s="71"/>
    </row>
    <row r="150" spans="2:101" ht="18" x14ac:dyDescent="0.25">
      <c r="B150" s="273" t="s">
        <v>689</v>
      </c>
      <c r="C150" s="273" t="s">
        <v>138</v>
      </c>
      <c r="D150" s="609" t="e">
        <f>Biodiesel!$D$158/((Biodiesel!$D$132+Biodiesel!$D$136+Biodiesel!$D$140+Biodiesel!$D$144+Biodiesel!$D$148+Biodiesel!$D$152+Biodiesel!$D$155+Biodiesel!$D$158))</f>
        <v>#DIV/0!</v>
      </c>
      <c r="E150" s="259"/>
      <c r="F150" s="407">
        <v>0</v>
      </c>
      <c r="G150" s="610"/>
      <c r="H150" s="550" t="e">
        <f t="shared" si="10"/>
        <v>#DIV/0!</v>
      </c>
      <c r="J150" s="277" t="s">
        <v>5</v>
      </c>
      <c r="K150" s="278">
        <f>F150</f>
        <v>0</v>
      </c>
      <c r="L150" s="674" t="s">
        <v>1000</v>
      </c>
      <c r="M150" s="278" t="e">
        <f>D150</f>
        <v>#DIV/0!</v>
      </c>
      <c r="N150" s="548" t="e">
        <f>M150/$M$152</f>
        <v>#DIV/0!</v>
      </c>
      <c r="O150" s="278" t="e">
        <f>N150*K150</f>
        <v>#DIV/0!</v>
      </c>
      <c r="P150" s="71"/>
      <c r="Q150" s="301">
        <f>K150</f>
        <v>0</v>
      </c>
      <c r="R150" s="71"/>
    </row>
    <row r="151" spans="2:101" ht="18" x14ac:dyDescent="0.25">
      <c r="B151" s="273" t="s">
        <v>697</v>
      </c>
      <c r="C151" s="273" t="s">
        <v>47</v>
      </c>
      <c r="D151" s="294" t="e">
        <f>D150*Biodiesel!$D$159</f>
        <v>#DIV/0!</v>
      </c>
      <c r="E151" s="259"/>
      <c r="F151" s="294" t="e">
        <f>D151*'Dados auxiliares'!$H$132</f>
        <v>#DIV/0!</v>
      </c>
      <c r="G151" s="595"/>
      <c r="H151" s="550" t="e">
        <f t="shared" si="10"/>
        <v>#DIV/0!</v>
      </c>
      <c r="J151" s="250"/>
      <c r="K151" s="71"/>
      <c r="L151" s="71"/>
      <c r="M151" s="71"/>
      <c r="N151" s="71"/>
      <c r="O151" s="283" t="s">
        <v>1008</v>
      </c>
      <c r="P151" s="71"/>
      <c r="Q151" s="71"/>
      <c r="R151" s="71"/>
    </row>
    <row r="152" spans="2:101" x14ac:dyDescent="0.25">
      <c r="B152" s="284" t="s">
        <v>455</v>
      </c>
      <c r="C152" s="285"/>
      <c r="D152" s="285"/>
      <c r="E152" s="288"/>
      <c r="F152" s="289"/>
      <c r="G152" s="593"/>
      <c r="H152" s="289"/>
      <c r="J152" s="250"/>
      <c r="K152" s="71"/>
      <c r="L152" s="71"/>
      <c r="M152" s="673" t="e">
        <f>SUM(M136:M150)</f>
        <v>#DIV/0!</v>
      </c>
      <c r="N152" s="677" t="e">
        <f>SUM(N136:N150)</f>
        <v>#DIV/0!</v>
      </c>
      <c r="O152" s="678" t="e">
        <f>SUM(O136:O150)</f>
        <v>#DIV/0!</v>
      </c>
      <c r="Q152" s="71"/>
      <c r="R152" s="71"/>
    </row>
    <row r="153" spans="2:101" x14ac:dyDescent="0.25">
      <c r="B153" s="273" t="s">
        <v>20</v>
      </c>
      <c r="C153" s="273" t="s">
        <v>1</v>
      </c>
      <c r="D153" s="277">
        <v>328.63849765258215</v>
      </c>
      <c r="E153" s="259"/>
      <c r="F153" s="278">
        <f>D153*'Dados auxiliares'!$H$83</f>
        <v>2.8925355310528755</v>
      </c>
      <c r="G153" s="598"/>
      <c r="H153" s="550" t="e">
        <f t="shared" si="10"/>
        <v>#DIV/0!</v>
      </c>
      <c r="I153" s="328"/>
      <c r="BY153" s="339"/>
      <c r="BZ153" s="327"/>
      <c r="CA153" s="327"/>
      <c r="CB153" s="327"/>
      <c r="CC153" s="327"/>
      <c r="CD153" s="327"/>
      <c r="CE153" s="327"/>
      <c r="CF153" s="327"/>
      <c r="CG153" s="327"/>
      <c r="CH153" s="327"/>
      <c r="CI153" s="327"/>
      <c r="CJ153" s="327"/>
      <c r="CK153" s="327"/>
      <c r="CL153" s="327"/>
      <c r="CM153" s="327"/>
      <c r="CN153" s="327"/>
      <c r="CO153" s="327"/>
      <c r="CP153" s="327"/>
      <c r="CQ153" s="327"/>
      <c r="CR153" s="327"/>
      <c r="CS153" s="327"/>
      <c r="CT153" s="327"/>
      <c r="CU153" s="327"/>
      <c r="CV153" s="327"/>
      <c r="CW153" s="327"/>
    </row>
    <row r="154" spans="2:101" x14ac:dyDescent="0.25">
      <c r="B154" s="273" t="s">
        <v>107</v>
      </c>
      <c r="C154" s="273" t="s">
        <v>1</v>
      </c>
      <c r="D154" s="605" t="e">
        <f>Biodiesel!D168*1000/((Biodiesel!$D$132+Biodiesel!$D$136+Biodiesel!$D$140+Biodiesel!$D$144+Biodiesel!$D$148+Biodiesel!$D$152+Biodiesel!$D$155+Biodiesel!$D$158))</f>
        <v>#DIV/0!</v>
      </c>
      <c r="E154" s="259"/>
      <c r="F154" s="238" t="e">
        <f>D154*'Dados auxiliares'!$H$101</f>
        <v>#DIV/0!</v>
      </c>
      <c r="G154" s="590"/>
      <c r="H154" s="550" t="e">
        <f t="shared" si="10"/>
        <v>#DIV/0!</v>
      </c>
      <c r="BY154" s="327"/>
      <c r="BZ154" s="327"/>
      <c r="CA154" s="327"/>
      <c r="CB154" s="327"/>
      <c r="CC154" s="327"/>
      <c r="CD154" s="327"/>
      <c r="CE154" s="327"/>
      <c r="CF154" s="327"/>
      <c r="CG154" s="327"/>
      <c r="CH154" s="327"/>
      <c r="CI154" s="327"/>
      <c r="CJ154" s="327"/>
      <c r="CK154" s="327"/>
      <c r="CL154" s="327"/>
      <c r="CM154" s="327"/>
      <c r="CN154" s="327"/>
      <c r="CO154" s="327"/>
      <c r="CP154" s="327"/>
      <c r="CQ154" s="327"/>
      <c r="CR154" s="327"/>
      <c r="CS154" s="327"/>
      <c r="CT154" s="327"/>
      <c r="CU154" s="327"/>
      <c r="CV154" s="327"/>
      <c r="CW154" s="327"/>
    </row>
    <row r="155" spans="2:101" x14ac:dyDescent="0.25">
      <c r="B155" s="273" t="s">
        <v>121</v>
      </c>
      <c r="C155" s="273" t="s">
        <v>1</v>
      </c>
      <c r="D155" s="605" t="e">
        <f>Biodiesel!D169*1000/((Biodiesel!$D$132+Biodiesel!$D$136+Biodiesel!$D$140+Biodiesel!$D$144+Biodiesel!$D$148+Biodiesel!$D$152+Biodiesel!$D$155+Biodiesel!$D$158))</f>
        <v>#DIV/0!</v>
      </c>
      <c r="E155" s="259"/>
      <c r="F155" s="238" t="e">
        <f>D155*'Dados auxiliares'!$H$90</f>
        <v>#DIV/0!</v>
      </c>
      <c r="G155" s="590"/>
      <c r="H155" s="550" t="e">
        <f t="shared" si="10"/>
        <v>#DIV/0!</v>
      </c>
      <c r="I155" s="328"/>
      <c r="BY155" s="351"/>
      <c r="BZ155" s="327"/>
      <c r="CA155" s="327"/>
      <c r="CB155" s="327"/>
      <c r="CC155" s="327"/>
      <c r="CD155" s="327"/>
      <c r="CE155" s="327"/>
      <c r="CF155" s="327"/>
      <c r="CG155" s="327"/>
      <c r="CH155" s="327"/>
      <c r="CI155" s="327"/>
      <c r="CJ155" s="327"/>
      <c r="CK155" s="327"/>
      <c r="CL155" s="327"/>
      <c r="CM155" s="327"/>
      <c r="CN155" s="327"/>
      <c r="CO155" s="327"/>
      <c r="CP155" s="327"/>
      <c r="CQ155" s="327"/>
      <c r="CR155" s="327"/>
      <c r="CS155" s="327"/>
      <c r="CT155" s="327"/>
      <c r="CU155" s="327"/>
      <c r="CV155" s="327"/>
      <c r="CW155" s="327"/>
    </row>
    <row r="156" spans="2:101" x14ac:dyDescent="0.25">
      <c r="B156" s="273" t="s">
        <v>592</v>
      </c>
      <c r="C156" s="273" t="s">
        <v>1</v>
      </c>
      <c r="D156" s="608">
        <f>IF(Biodiesel!$D$162="Metílica",13.0516431924883,0)</f>
        <v>0</v>
      </c>
      <c r="E156" s="259"/>
      <c r="F156" s="238">
        <f>D156*'Dados auxiliares'!$H$86</f>
        <v>0</v>
      </c>
      <c r="G156" s="590"/>
      <c r="H156" s="550" t="e">
        <f t="shared" si="10"/>
        <v>#DIV/0!</v>
      </c>
      <c r="I156" s="328"/>
      <c r="BY156" s="351"/>
      <c r="BZ156" s="327"/>
      <c r="CA156" s="327"/>
      <c r="CB156" s="327"/>
      <c r="CC156" s="327"/>
      <c r="CD156" s="327"/>
      <c r="CE156" s="327"/>
      <c r="CF156" s="327"/>
      <c r="CG156" s="327"/>
      <c r="CH156" s="327"/>
      <c r="CI156" s="327"/>
      <c r="CJ156" s="327"/>
      <c r="CK156" s="327"/>
      <c r="CL156" s="327"/>
      <c r="CM156" s="327"/>
      <c r="CN156" s="327"/>
      <c r="CO156" s="327"/>
      <c r="CP156" s="327"/>
      <c r="CQ156" s="327"/>
      <c r="CR156" s="327"/>
      <c r="CS156" s="327"/>
      <c r="CT156" s="327"/>
      <c r="CU156" s="327"/>
      <c r="CV156" s="327"/>
      <c r="CW156" s="327"/>
    </row>
    <row r="157" spans="2:101" x14ac:dyDescent="0.25">
      <c r="B157" s="273" t="s">
        <v>23</v>
      </c>
      <c r="C157" s="273" t="s">
        <v>1</v>
      </c>
      <c r="D157" s="608">
        <f>IF(Biodiesel!$D$162="Metílica",0.5,IF(Biodiesel!$D$162="Etílica",0.0301810865191147,0))</f>
        <v>0</v>
      </c>
      <c r="E157" s="259"/>
      <c r="F157" s="238">
        <f>D157*'Dados auxiliares'!$H$89</f>
        <v>0</v>
      </c>
      <c r="G157" s="590"/>
      <c r="H157" s="550" t="e">
        <f t="shared" si="10"/>
        <v>#DIV/0!</v>
      </c>
      <c r="I157" s="328"/>
      <c r="BY157" s="351"/>
      <c r="BZ157" s="327" t="e">
        <f>D131+D132</f>
        <v>#DIV/0!</v>
      </c>
      <c r="CA157" s="327"/>
      <c r="CB157" s="327"/>
      <c r="CC157" s="327"/>
      <c r="CD157" s="327"/>
      <c r="CE157" s="327"/>
      <c r="CF157" s="327"/>
      <c r="CG157" s="327"/>
      <c r="CH157" s="327"/>
      <c r="CI157" s="327"/>
      <c r="CJ157" s="327"/>
      <c r="CK157" s="327"/>
      <c r="CL157" s="327"/>
      <c r="CM157" s="327"/>
      <c r="CN157" s="327"/>
      <c r="CO157" s="327"/>
      <c r="CP157" s="327"/>
      <c r="CQ157" s="327"/>
      <c r="CR157" s="327"/>
      <c r="CS157" s="327"/>
      <c r="CT157" s="327"/>
      <c r="CU157" s="327"/>
      <c r="CV157" s="327"/>
      <c r="CW157" s="327"/>
    </row>
    <row r="158" spans="2:101" x14ac:dyDescent="0.25">
      <c r="B158" s="273" t="s">
        <v>45</v>
      </c>
      <c r="C158" s="273" t="s">
        <v>1</v>
      </c>
      <c r="D158" s="605" t="e">
        <f>Biodiesel!D170*1000/((Biodiesel!$D$132+Biodiesel!$D$136+Biodiesel!$D$140+Biodiesel!$D$144+Biodiesel!$D$148+Biodiesel!$D$152+Biodiesel!$D$155+Biodiesel!$D$158))</f>
        <v>#DIV/0!</v>
      </c>
      <c r="E158" s="259"/>
      <c r="F158" s="238" t="e">
        <f>D158*'Dados auxiliares'!$H$121</f>
        <v>#DIV/0!</v>
      </c>
      <c r="G158" s="590"/>
      <c r="H158" s="550" t="e">
        <f t="shared" si="10"/>
        <v>#DIV/0!</v>
      </c>
      <c r="I158" s="328"/>
      <c r="BY158" s="351"/>
      <c r="BZ158" s="327"/>
      <c r="CA158" s="327"/>
      <c r="CB158" s="327"/>
      <c r="CC158" s="327"/>
      <c r="CD158" s="327"/>
      <c r="CE158" s="327"/>
      <c r="CF158" s="327"/>
      <c r="CG158" s="327"/>
      <c r="CH158" s="327"/>
      <c r="CI158" s="327"/>
      <c r="CJ158" s="327"/>
      <c r="CK158" s="327"/>
      <c r="CL158" s="327"/>
      <c r="CM158" s="327"/>
      <c r="CN158" s="327"/>
      <c r="CO158" s="327"/>
      <c r="CP158" s="327"/>
      <c r="CQ158" s="327"/>
      <c r="CR158" s="327"/>
      <c r="CS158" s="327"/>
      <c r="CT158" s="327"/>
      <c r="CU158" s="327"/>
      <c r="CV158" s="327"/>
      <c r="CW158" s="327"/>
    </row>
    <row r="159" spans="2:101" x14ac:dyDescent="0.25">
      <c r="B159" s="273" t="s">
        <v>85</v>
      </c>
      <c r="C159" s="273" t="s">
        <v>1</v>
      </c>
      <c r="D159" s="605" t="e">
        <f>Biodiesel!D171*1000/((Biodiesel!$D$132+Biodiesel!$D$136+Biodiesel!$D$140+Biodiesel!$D$144+Biodiesel!$D$148+Biodiesel!$D$152+Biodiesel!$D$155+Biodiesel!$D$158))</f>
        <v>#DIV/0!</v>
      </c>
      <c r="E159" s="259"/>
      <c r="F159" s="238" t="e">
        <f>D159*'Dados auxiliares'!$H$97</f>
        <v>#DIV/0!</v>
      </c>
      <c r="G159" s="590"/>
      <c r="H159" s="550" t="e">
        <f t="shared" si="10"/>
        <v>#DIV/0!</v>
      </c>
      <c r="I159" s="317"/>
      <c r="BY159" s="351"/>
      <c r="BZ159" s="327" t="e">
        <f>BZ157*#REF!</f>
        <v>#DIV/0!</v>
      </c>
      <c r="CA159" s="327"/>
      <c r="CB159" s="327" t="e">
        <v>#REF!</v>
      </c>
      <c r="CC159" s="352"/>
      <c r="CD159" s="327"/>
      <c r="CE159" s="327"/>
      <c r="CF159" s="327"/>
      <c r="CG159" s="327"/>
      <c r="CH159" s="327"/>
      <c r="CI159" s="327"/>
      <c r="CJ159" s="327"/>
      <c r="CK159" s="327"/>
      <c r="CL159" s="327"/>
      <c r="CM159" s="327"/>
      <c r="CN159" s="327"/>
      <c r="CO159" s="327"/>
      <c r="CP159" s="327"/>
      <c r="CQ159" s="327"/>
      <c r="CR159" s="327"/>
      <c r="CS159" s="327"/>
      <c r="CT159" s="327"/>
      <c r="CU159" s="327"/>
      <c r="CV159" s="327"/>
      <c r="CW159" s="327"/>
    </row>
    <row r="160" spans="2:101" x14ac:dyDescent="0.25">
      <c r="B160" s="94" t="s">
        <v>376</v>
      </c>
      <c r="C160" s="94" t="s">
        <v>57</v>
      </c>
      <c r="D160" s="619" t="e">
        <f>Biodiesel!D173*1000/((Biodiesel!$D$132+Biodiesel!$D$136+Biodiesel!$D$140+Biodiesel!$D$144+Biodiesel!$D$148+Biodiesel!$D$152+Biodiesel!$D$155+Biodiesel!$D$158))</f>
        <v>#DIV/0!</v>
      </c>
      <c r="E160" s="259"/>
      <c r="F160" s="238" t="e">
        <f>D160*'Dados auxiliares'!$H$107</f>
        <v>#DIV/0!</v>
      </c>
      <c r="G160" s="590"/>
      <c r="H160" s="550" t="e">
        <f t="shared" si="10"/>
        <v>#DIV/0!</v>
      </c>
      <c r="I160" s="328"/>
      <c r="BY160" s="351"/>
      <c r="BZ160" s="327"/>
      <c r="CA160" s="327"/>
      <c r="CB160" s="327"/>
      <c r="CC160" s="352"/>
      <c r="CD160" s="327"/>
      <c r="CE160" s="327"/>
      <c r="CF160" s="327"/>
      <c r="CG160" s="327"/>
      <c r="CH160" s="327"/>
      <c r="CI160" s="327"/>
      <c r="CJ160" s="327"/>
      <c r="CK160" s="327"/>
      <c r="CL160" s="327"/>
      <c r="CM160" s="327"/>
      <c r="CN160" s="327"/>
      <c r="CO160" s="327"/>
      <c r="CP160" s="327"/>
      <c r="CQ160" s="327"/>
      <c r="CR160" s="327"/>
      <c r="CS160" s="327"/>
      <c r="CT160" s="327"/>
      <c r="CU160" s="327"/>
      <c r="CV160" s="327"/>
      <c r="CW160" s="327"/>
    </row>
    <row r="161" spans="2:101" x14ac:dyDescent="0.25">
      <c r="B161" s="94" t="s">
        <v>375</v>
      </c>
      <c r="C161" s="94" t="s">
        <v>57</v>
      </c>
      <c r="D161" s="619" t="e">
        <f>Biodiesel!D174*1000/((Biodiesel!$D$132+Biodiesel!$D$136+Biodiesel!$D$140+Biodiesel!$D$144+Biodiesel!$D$148+Biodiesel!$D$152+Biodiesel!$D$155+Biodiesel!$D$158))</f>
        <v>#DIV/0!</v>
      </c>
      <c r="E161" s="259"/>
      <c r="F161" s="238" t="e">
        <f>D161*'Dados auxiliares'!$H$108</f>
        <v>#DIV/0!</v>
      </c>
      <c r="G161" s="590"/>
      <c r="H161" s="550" t="e">
        <f t="shared" si="10"/>
        <v>#DIV/0!</v>
      </c>
      <c r="I161" s="328"/>
      <c r="BY161" s="351"/>
      <c r="BZ161" s="327"/>
      <c r="CA161" s="327"/>
      <c r="CB161" s="327"/>
      <c r="CC161" s="352"/>
      <c r="CD161" s="327"/>
      <c r="CE161" s="327"/>
      <c r="CF161" s="327"/>
      <c r="CG161" s="327"/>
      <c r="CH161" s="327"/>
      <c r="CI161" s="327"/>
      <c r="CJ161" s="327"/>
      <c r="CK161" s="327"/>
      <c r="CL161" s="327"/>
      <c r="CM161" s="327"/>
      <c r="CN161" s="327"/>
      <c r="CO161" s="327"/>
      <c r="CP161" s="327"/>
      <c r="CQ161" s="327"/>
      <c r="CR161" s="327"/>
      <c r="CS161" s="327"/>
      <c r="CT161" s="327"/>
      <c r="CU161" s="327"/>
      <c r="CV161" s="327"/>
      <c r="CW161" s="327"/>
    </row>
    <row r="162" spans="2:101" x14ac:dyDescent="0.25">
      <c r="B162" s="94" t="s">
        <v>372</v>
      </c>
      <c r="C162" s="94" t="s">
        <v>57</v>
      </c>
      <c r="D162" s="619" t="e">
        <f>Biodiesel!D175*1000/((Biodiesel!$D$132+Biodiesel!$D$136+Biodiesel!$D$140+Biodiesel!$D$144+Biodiesel!$D$148+Biodiesel!$D$152+Biodiesel!$D$155+Biodiesel!$D$158))</f>
        <v>#DIV/0!</v>
      </c>
      <c r="E162" s="259"/>
      <c r="F162" s="238" t="e">
        <f>D162*'Dados auxiliares'!$H$109</f>
        <v>#DIV/0!</v>
      </c>
      <c r="G162" s="590"/>
      <c r="H162" s="550" t="e">
        <f t="shared" si="10"/>
        <v>#DIV/0!</v>
      </c>
      <c r="I162" s="328"/>
      <c r="BY162" s="351"/>
      <c r="BZ162" s="327"/>
      <c r="CA162" s="327"/>
      <c r="CB162" s="327"/>
      <c r="CC162" s="352"/>
      <c r="CD162" s="327"/>
      <c r="CE162" s="327"/>
      <c r="CF162" s="327"/>
      <c r="CG162" s="327"/>
      <c r="CH162" s="327"/>
      <c r="CI162" s="327"/>
      <c r="CJ162" s="327"/>
      <c r="CK162" s="327"/>
      <c r="CL162" s="327"/>
      <c r="CM162" s="327"/>
      <c r="CN162" s="327"/>
      <c r="CO162" s="327"/>
      <c r="CP162" s="327"/>
      <c r="CQ162" s="327"/>
      <c r="CR162" s="327"/>
      <c r="CS162" s="327"/>
      <c r="CT162" s="327"/>
      <c r="CU162" s="327"/>
      <c r="CV162" s="327"/>
      <c r="CW162" s="327"/>
    </row>
    <row r="163" spans="2:101" x14ac:dyDescent="0.25">
      <c r="B163" s="94" t="s">
        <v>373</v>
      </c>
      <c r="C163" s="94" t="s">
        <v>57</v>
      </c>
      <c r="D163" s="619" t="e">
        <f>Biodiesel!D176*1000/((Biodiesel!$D$132+Biodiesel!$D$136+Biodiesel!$D$140+Biodiesel!$D$144+Biodiesel!$D$148+Biodiesel!$D$152+Biodiesel!$D$155+Biodiesel!$D$158))</f>
        <v>#DIV/0!</v>
      </c>
      <c r="E163" s="259"/>
      <c r="F163" s="238" t="e">
        <f>D163*'Dados auxiliares'!$H$110</f>
        <v>#DIV/0!</v>
      </c>
      <c r="G163" s="590"/>
      <c r="H163" s="550" t="e">
        <f t="shared" si="10"/>
        <v>#DIV/0!</v>
      </c>
      <c r="I163" s="328"/>
      <c r="BY163" s="351"/>
      <c r="BZ163" s="327"/>
      <c r="CA163" s="327"/>
      <c r="CB163" s="327"/>
      <c r="CC163" s="352"/>
      <c r="CD163" s="327"/>
      <c r="CE163" s="327"/>
      <c r="CF163" s="327"/>
      <c r="CG163" s="327"/>
      <c r="CH163" s="327"/>
      <c r="CI163" s="327"/>
      <c r="CJ163" s="327"/>
      <c r="CK163" s="327"/>
      <c r="CL163" s="327"/>
      <c r="CM163" s="327"/>
      <c r="CN163" s="327"/>
      <c r="CO163" s="327"/>
      <c r="CP163" s="327"/>
      <c r="CQ163" s="327"/>
      <c r="CR163" s="327"/>
      <c r="CS163" s="327"/>
      <c r="CT163" s="327"/>
      <c r="CU163" s="327"/>
      <c r="CV163" s="327"/>
      <c r="CW163" s="327"/>
    </row>
    <row r="164" spans="2:101" x14ac:dyDescent="0.25">
      <c r="B164" s="94" t="s">
        <v>374</v>
      </c>
      <c r="C164" s="94" t="s">
        <v>57</v>
      </c>
      <c r="D164" s="619" t="e">
        <f>Biodiesel!D177*1000/((Biodiesel!$D$132+Biodiesel!$D$136+Biodiesel!$D$140+Biodiesel!$D$144+Biodiesel!$D$148+Biodiesel!$D$152+Biodiesel!$D$155+Biodiesel!$D$158))</f>
        <v>#DIV/0!</v>
      </c>
      <c r="E164" s="259"/>
      <c r="F164" s="238" t="e">
        <f>D164*'Dados auxiliares'!$H$111</f>
        <v>#DIV/0!</v>
      </c>
      <c r="G164" s="590"/>
      <c r="H164" s="550" t="e">
        <f t="shared" si="10"/>
        <v>#DIV/0!</v>
      </c>
      <c r="I164" s="328"/>
      <c r="BY164" s="351"/>
      <c r="BZ164" s="327"/>
      <c r="CA164" s="327"/>
      <c r="CB164" s="327"/>
      <c r="CC164" s="352"/>
      <c r="CD164" s="327"/>
      <c r="CE164" s="327"/>
      <c r="CF164" s="327"/>
      <c r="CG164" s="327"/>
      <c r="CH164" s="327"/>
      <c r="CI164" s="327"/>
      <c r="CJ164" s="327"/>
      <c r="CK164" s="327"/>
      <c r="CL164" s="327"/>
      <c r="CM164" s="327"/>
      <c r="CN164" s="327"/>
      <c r="CO164" s="327"/>
      <c r="CP164" s="327"/>
      <c r="CQ164" s="327"/>
      <c r="CR164" s="327"/>
      <c r="CS164" s="327"/>
      <c r="CT164" s="327"/>
      <c r="CU164" s="327"/>
      <c r="CV164" s="327"/>
      <c r="CW164" s="327"/>
    </row>
    <row r="165" spans="2:101" x14ac:dyDescent="0.25">
      <c r="B165" s="94" t="s">
        <v>309</v>
      </c>
      <c r="C165" s="94" t="s">
        <v>1</v>
      </c>
      <c r="D165" s="619" t="e">
        <f>((Biodiesel!D178*(1-0.08)+Biodiesel!$D$179*(1-0.1)+Biodiesel!$D$180*(1-Biodiesel!$G$180)+Biodiesel!$D$181*(1-0.2)+Biodiesel!$D$182*(1-0.3)+Biodiesel!$D$183*(1-1))*('Dados auxiliares'!$D$26))*1000/((Biodiesel!$D$132+Biodiesel!$D$136+Biodiesel!$D$140+Biodiesel!$D$144+Biodiesel!$D$148+Biodiesel!$D$152+Biodiesel!$D$155+Biodiesel!$D$158))</f>
        <v>#DIV/0!</v>
      </c>
      <c r="E165" s="259"/>
      <c r="F165" s="238" t="e">
        <f>D165*'Dados auxiliares'!$H$116</f>
        <v>#DIV/0!</v>
      </c>
      <c r="G165" s="590"/>
      <c r="H165" s="550" t="e">
        <f t="shared" si="10"/>
        <v>#DIV/0!</v>
      </c>
      <c r="I165" s="328"/>
      <c r="BY165" s="351"/>
      <c r="BZ165" s="327"/>
      <c r="CA165" s="327"/>
      <c r="CB165" s="327"/>
      <c r="CC165" s="327"/>
      <c r="CD165" s="327"/>
      <c r="CE165" s="327"/>
      <c r="CF165" s="327"/>
      <c r="CG165" s="327"/>
      <c r="CH165" s="327"/>
      <c r="CI165" s="327"/>
      <c r="CJ165" s="327"/>
      <c r="CK165" s="327"/>
      <c r="CL165" s="327"/>
      <c r="CM165" s="327"/>
      <c r="CN165" s="327"/>
      <c r="CO165" s="327"/>
      <c r="CP165" s="327"/>
      <c r="CQ165" s="327"/>
      <c r="CR165" s="327"/>
      <c r="CS165" s="327"/>
      <c r="CT165" s="327"/>
      <c r="CU165" s="327"/>
      <c r="CV165" s="327"/>
      <c r="CW165" s="327"/>
    </row>
    <row r="166" spans="2:101" x14ac:dyDescent="0.25">
      <c r="B166" s="94" t="s">
        <v>187</v>
      </c>
      <c r="C166" s="94" t="s">
        <v>1</v>
      </c>
      <c r="D166" s="619" t="e">
        <f>((Biodiesel!D178*(0.08)+Biodiesel!$D$179*(0.1)+Biodiesel!$D$180*(Biodiesel!$G$180)+Biodiesel!$D$181*(0.2)+Biodiesel!$D$182*(0.3)+Biodiesel!$D$183*(1))*('Dados auxiliares'!$D$17))*1000/((Biodiesel!$D$132+Biodiesel!$D$136+Biodiesel!$D$140+Biodiesel!$D$144+Biodiesel!$D$148+Biodiesel!$D$152+Biodiesel!$D$155+Biodiesel!$D$158))</f>
        <v>#DIV/0!</v>
      </c>
      <c r="E166" s="259"/>
      <c r="F166" s="238" t="e">
        <f>D166*'Dados auxiliares'!$H$117</f>
        <v>#DIV/0!</v>
      </c>
      <c r="G166" s="590"/>
      <c r="H166" s="550" t="e">
        <f t="shared" si="10"/>
        <v>#DIV/0!</v>
      </c>
      <c r="I166" s="328"/>
      <c r="BY166" s="351"/>
      <c r="BZ166" s="327"/>
      <c r="CA166" s="327"/>
      <c r="CB166" s="327"/>
      <c r="CC166" s="327"/>
      <c r="CD166" s="327"/>
      <c r="CE166" s="327"/>
      <c r="CF166" s="327"/>
      <c r="CG166" s="327"/>
      <c r="CH166" s="327"/>
      <c r="CI166" s="327"/>
      <c r="CJ166" s="327"/>
      <c r="CK166" s="327"/>
      <c r="CL166" s="327"/>
      <c r="CM166" s="327"/>
      <c r="CN166" s="327"/>
      <c r="CO166" s="327"/>
      <c r="CP166" s="327"/>
      <c r="CQ166" s="327"/>
      <c r="CR166" s="327"/>
      <c r="CS166" s="327"/>
      <c r="CT166" s="327"/>
      <c r="CU166" s="327"/>
      <c r="CV166" s="327"/>
      <c r="CW166" s="327"/>
    </row>
    <row r="167" spans="2:101" x14ac:dyDescent="0.25">
      <c r="B167" s="94" t="s">
        <v>851</v>
      </c>
      <c r="C167" s="94" t="s">
        <v>1</v>
      </c>
      <c r="D167" s="619" t="e">
        <f>(Biodiesel!D184*1000/((Biodiesel!$D$132+Biodiesel!$D$136+Biodiesel!$D$140+Biodiesel!$D$144+Biodiesel!$D$148+Biodiesel!$D$152+Biodiesel!$D$155+Biodiesel!$D$158)))*'Dados auxiliares'!$D$30</f>
        <v>#DIV/0!</v>
      </c>
      <c r="E167" s="259"/>
      <c r="F167" s="238" t="e">
        <f>D167*'Dados auxiliares'!$H$126</f>
        <v>#DIV/0!</v>
      </c>
      <c r="G167" s="590"/>
      <c r="H167" s="550" t="e">
        <f t="shared" si="10"/>
        <v>#DIV/0!</v>
      </c>
      <c r="I167" s="328"/>
      <c r="BY167" s="351"/>
      <c r="BZ167" s="327"/>
      <c r="CA167" s="327"/>
      <c r="CB167" s="327"/>
      <c r="CC167" s="327"/>
      <c r="CD167" s="327"/>
      <c r="CE167" s="327"/>
      <c r="CF167" s="327"/>
      <c r="CG167" s="327"/>
      <c r="CH167" s="327"/>
      <c r="CI167" s="327"/>
      <c r="CJ167" s="327"/>
      <c r="CK167" s="327"/>
      <c r="CL167" s="327"/>
      <c r="CM167" s="327"/>
      <c r="CN167" s="327"/>
      <c r="CO167" s="327"/>
      <c r="CP167" s="327"/>
      <c r="CQ167" s="327"/>
      <c r="CR167" s="327"/>
      <c r="CS167" s="327"/>
      <c r="CT167" s="327"/>
      <c r="CU167" s="327"/>
      <c r="CV167" s="327"/>
      <c r="CW167" s="327"/>
    </row>
    <row r="168" spans="2:101" x14ac:dyDescent="0.25">
      <c r="B168" s="94" t="s">
        <v>923</v>
      </c>
      <c r="C168" s="94" t="s">
        <v>169</v>
      </c>
      <c r="D168" s="619" t="e">
        <f>Biodiesel!D185/((Biodiesel!$D$132+Biodiesel!$D$136+Biodiesel!$D$140+Biodiesel!$D$144+Biodiesel!$D$148+Biodiesel!$D$152+Biodiesel!$D$155+Biodiesel!$D$158))</f>
        <v>#DIV/0!</v>
      </c>
      <c r="E168" s="259"/>
      <c r="F168" s="238" t="e">
        <f>D168*Biodiesel!G185*'Dados auxiliares'!$H$125</f>
        <v>#DIV/0!</v>
      </c>
      <c r="G168" s="590"/>
      <c r="H168" s="550" t="e">
        <f t="shared" si="10"/>
        <v>#DIV/0!</v>
      </c>
      <c r="I168" s="328"/>
      <c r="BY168" s="351"/>
      <c r="BZ168" s="327"/>
      <c r="CA168" s="327"/>
      <c r="CB168" s="327"/>
      <c r="CC168" s="327"/>
      <c r="CD168" s="327"/>
      <c r="CE168" s="327"/>
      <c r="CF168" s="327"/>
      <c r="CG168" s="327"/>
      <c r="CH168" s="327"/>
      <c r="CI168" s="327"/>
      <c r="CJ168" s="327"/>
      <c r="CK168" s="327"/>
      <c r="CL168" s="327"/>
      <c r="CM168" s="327"/>
      <c r="CN168" s="327"/>
      <c r="CO168" s="327"/>
      <c r="CP168" s="327"/>
      <c r="CQ168" s="327"/>
      <c r="CR168" s="327"/>
      <c r="CS168" s="327"/>
      <c r="CT168" s="327"/>
      <c r="CU168" s="327"/>
      <c r="CV168" s="327"/>
      <c r="CW168" s="327"/>
    </row>
    <row r="169" spans="2:101" x14ac:dyDescent="0.25">
      <c r="B169" s="94" t="s">
        <v>572</v>
      </c>
      <c r="C169" s="94" t="s">
        <v>169</v>
      </c>
      <c r="D169" s="619" t="e">
        <f>Biodiesel!D187/((Biodiesel!$D$132+Biodiesel!$D$136+Biodiesel!$D$140+Biodiesel!$D$144+Biodiesel!$D$148+Biodiesel!$D$152+Biodiesel!$D$155+Biodiesel!$D$158))</f>
        <v>#DIV/0!</v>
      </c>
      <c r="E169" s="259"/>
      <c r="F169" s="238" t="e">
        <f>D169*'Dados auxiliares'!$H$115</f>
        <v>#DIV/0!</v>
      </c>
      <c r="G169" s="590"/>
      <c r="H169" s="550" t="e">
        <f t="shared" si="10"/>
        <v>#DIV/0!</v>
      </c>
      <c r="I169" s="328"/>
      <c r="BY169" s="351"/>
      <c r="BZ169" s="327"/>
      <c r="CA169" s="327"/>
      <c r="CB169" s="327"/>
      <c r="CC169" s="327"/>
      <c r="CD169" s="327"/>
      <c r="CE169" s="327"/>
      <c r="CF169" s="327"/>
      <c r="CG169" s="327"/>
      <c r="CH169" s="327"/>
      <c r="CI169" s="327"/>
      <c r="CJ169" s="327"/>
      <c r="CK169" s="327"/>
      <c r="CL169" s="327"/>
      <c r="CM169" s="327"/>
      <c r="CN169" s="327"/>
      <c r="CO169" s="327"/>
      <c r="CP169" s="327"/>
      <c r="CQ169" s="327"/>
      <c r="CR169" s="327"/>
      <c r="CS169" s="327"/>
      <c r="CT169" s="327"/>
      <c r="CU169" s="327"/>
      <c r="CV169" s="327"/>
      <c r="CW169" s="327"/>
    </row>
    <row r="170" spans="2:101" ht="18" x14ac:dyDescent="0.25">
      <c r="B170" s="94" t="s">
        <v>106</v>
      </c>
      <c r="C170" s="94" t="s">
        <v>506</v>
      </c>
      <c r="D170" s="619" t="e">
        <f>Biodiesel!$D$189*(1-Biodiesel!$D$190)*1000/((Biodiesel!$D$132+Biodiesel!$D$136+Biodiesel!$D$140+Biodiesel!$D$144+Biodiesel!$D$148+Biodiesel!$D$152+Biodiesel!$D$155+Biodiesel!$D$158))</f>
        <v>#DIV/0!</v>
      </c>
      <c r="E170" s="259"/>
      <c r="F170" s="238" t="e">
        <f>D170*'Dados auxiliares'!$H$123</f>
        <v>#DIV/0!</v>
      </c>
      <c r="G170" s="590"/>
      <c r="H170" s="550" t="e">
        <f t="shared" si="10"/>
        <v>#DIV/0!</v>
      </c>
      <c r="I170" s="328"/>
      <c r="BY170" s="351"/>
      <c r="BZ170" s="327"/>
      <c r="CA170" s="327"/>
      <c r="CB170" s="327"/>
      <c r="CC170" s="327"/>
      <c r="CD170" s="327"/>
      <c r="CE170" s="327"/>
      <c r="CF170" s="327"/>
      <c r="CG170" s="327"/>
      <c r="CH170" s="327"/>
      <c r="CI170" s="327"/>
      <c r="CJ170" s="327"/>
      <c r="CK170" s="327"/>
      <c r="CL170" s="327"/>
      <c r="CM170" s="327"/>
      <c r="CN170" s="327"/>
      <c r="CO170" s="327"/>
      <c r="CP170" s="327"/>
      <c r="CQ170" s="327"/>
      <c r="CR170" s="327"/>
      <c r="CS170" s="327"/>
      <c r="CT170" s="327"/>
      <c r="CU170" s="327"/>
      <c r="CV170" s="327"/>
      <c r="CW170" s="327"/>
    </row>
    <row r="171" spans="2:101" x14ac:dyDescent="0.25">
      <c r="B171" s="273" t="s">
        <v>500</v>
      </c>
      <c r="C171" s="273" t="s">
        <v>47</v>
      </c>
      <c r="D171" s="607" t="e">
        <f>((D170/1000)*Biodiesel!$D$191)</f>
        <v>#DIV/0!</v>
      </c>
      <c r="E171" s="259"/>
      <c r="F171" s="278" t="e">
        <f>D171*'Dados auxiliares'!$H$131</f>
        <v>#DIV/0!</v>
      </c>
      <c r="G171" s="598"/>
      <c r="H171" s="550" t="e">
        <f t="shared" si="10"/>
        <v>#DIV/0!</v>
      </c>
      <c r="I171" s="328"/>
      <c r="BY171" s="351"/>
      <c r="BZ171" s="327"/>
      <c r="CA171" s="327"/>
      <c r="CB171" s="327"/>
      <c r="CC171" s="327"/>
      <c r="CD171" s="327"/>
      <c r="CE171" s="327"/>
      <c r="CF171" s="327"/>
      <c r="CG171" s="327"/>
      <c r="CH171" s="327"/>
      <c r="CI171" s="327"/>
      <c r="CJ171" s="327"/>
      <c r="CK171" s="327"/>
      <c r="CL171" s="327"/>
      <c r="CM171" s="327"/>
      <c r="CN171" s="327"/>
      <c r="CO171" s="327"/>
      <c r="CP171" s="327"/>
      <c r="CQ171" s="327"/>
      <c r="CR171" s="327"/>
      <c r="CS171" s="327"/>
      <c r="CT171" s="327"/>
      <c r="CU171" s="327"/>
      <c r="CV171" s="327"/>
      <c r="CW171" s="327"/>
    </row>
    <row r="172" spans="2:101" ht="18" x14ac:dyDescent="0.25">
      <c r="B172" s="273" t="s">
        <v>347</v>
      </c>
      <c r="C172" s="273" t="s">
        <v>506</v>
      </c>
      <c r="D172" s="607" t="e">
        <f>Biodiesel!$D$193*(1-Biodiesel!$D$194)*1000/((Biodiesel!$D$132+Biodiesel!$D$136+Biodiesel!$D$140+Biodiesel!$D$144+Biodiesel!$D$148+Biodiesel!$D$152+Biodiesel!$D$155+Biodiesel!$D$158))</f>
        <v>#DIV/0!</v>
      </c>
      <c r="E172" s="259"/>
      <c r="F172" s="278" t="e">
        <f>D172*'Dados auxiliares'!$H$124</f>
        <v>#DIV/0!</v>
      </c>
      <c r="G172" s="598"/>
      <c r="H172" s="550" t="e">
        <f t="shared" si="10"/>
        <v>#DIV/0!</v>
      </c>
      <c r="I172" s="328"/>
      <c r="BY172" s="351"/>
      <c r="BZ172" s="327"/>
      <c r="CA172" s="327"/>
      <c r="CB172" s="327"/>
      <c r="CC172" s="327"/>
      <c r="CD172" s="327"/>
      <c r="CE172" s="327"/>
      <c r="CF172" s="327"/>
      <c r="CG172" s="327"/>
      <c r="CH172" s="327"/>
      <c r="CI172" s="327"/>
      <c r="CJ172" s="327"/>
      <c r="CK172" s="327"/>
      <c r="CL172" s="327"/>
      <c r="CM172" s="327"/>
      <c r="CN172" s="327"/>
      <c r="CO172" s="327"/>
      <c r="CP172" s="327"/>
      <c r="CQ172" s="327"/>
      <c r="CR172" s="327"/>
      <c r="CS172" s="327"/>
      <c r="CT172" s="327"/>
      <c r="CU172" s="327"/>
      <c r="CV172" s="327"/>
      <c r="CW172" s="327"/>
    </row>
    <row r="173" spans="2:101" x14ac:dyDescent="0.25">
      <c r="B173" s="273" t="s">
        <v>503</v>
      </c>
      <c r="C173" s="273" t="s">
        <v>47</v>
      </c>
      <c r="D173" s="607" t="e">
        <f>((D172/1000)*Biodiesel!$D$195)</f>
        <v>#DIV/0!</v>
      </c>
      <c r="E173" s="259"/>
      <c r="F173" s="278" t="e">
        <f>D173*'Dados auxiliares'!$H$131</f>
        <v>#DIV/0!</v>
      </c>
      <c r="G173" s="598"/>
      <c r="H173" s="550" t="e">
        <f t="shared" si="10"/>
        <v>#DIV/0!</v>
      </c>
      <c r="I173" s="328"/>
      <c r="BY173" s="351"/>
      <c r="BZ173" s="327"/>
      <c r="CA173" s="327"/>
      <c r="CB173" s="327"/>
      <c r="CC173" s="327"/>
      <c r="CD173" s="327"/>
      <c r="CE173" s="327"/>
      <c r="CF173" s="327"/>
      <c r="CG173" s="327"/>
      <c r="CH173" s="327"/>
      <c r="CI173" s="327"/>
      <c r="CJ173" s="327"/>
      <c r="CK173" s="327"/>
      <c r="CL173" s="327"/>
      <c r="CM173" s="327"/>
      <c r="CN173" s="327"/>
      <c r="CO173" s="327"/>
      <c r="CP173" s="327"/>
      <c r="CQ173" s="327"/>
      <c r="CR173" s="327"/>
      <c r="CS173" s="327"/>
      <c r="CT173" s="327"/>
      <c r="CU173" s="327"/>
      <c r="CV173" s="327"/>
      <c r="CW173" s="327"/>
    </row>
    <row r="174" spans="2:101" ht="18" x14ac:dyDescent="0.25">
      <c r="B174" s="273" t="s">
        <v>466</v>
      </c>
      <c r="C174" s="273" t="s">
        <v>506</v>
      </c>
      <c r="D174" s="607" t="e">
        <f>Biodiesel!$D$197*(1-Biodiesel!$D$198)*1000/((Biodiesel!$D$132+Biodiesel!$D$136+Biodiesel!$D$140+Biodiesel!$D$144+Biodiesel!$D$148+Biodiesel!$D$152+Biodiesel!$D$155+Biodiesel!$D$158))</f>
        <v>#DIV/0!</v>
      </c>
      <c r="E174" s="259"/>
      <c r="F174" s="277">
        <v>0</v>
      </c>
      <c r="G174" s="544"/>
      <c r="H174" s="550" t="e">
        <f t="shared" si="10"/>
        <v>#DIV/0!</v>
      </c>
      <c r="I174" s="328"/>
      <c r="BY174" s="351"/>
      <c r="BZ174" s="327"/>
      <c r="CA174" s="327"/>
      <c r="CB174" s="327"/>
      <c r="CC174" s="327"/>
      <c r="CD174" s="327"/>
      <c r="CE174" s="327"/>
      <c r="CF174" s="327"/>
      <c r="CG174" s="327"/>
      <c r="CH174" s="327"/>
      <c r="CI174" s="327"/>
      <c r="CJ174" s="327"/>
      <c r="CK174" s="327"/>
      <c r="CL174" s="327"/>
      <c r="CM174" s="327"/>
      <c r="CN174" s="327"/>
      <c r="CO174" s="327"/>
      <c r="CP174" s="327"/>
      <c r="CQ174" s="327"/>
      <c r="CR174" s="327"/>
      <c r="CS174" s="327"/>
      <c r="CT174" s="327"/>
      <c r="CU174" s="327"/>
      <c r="CV174" s="327"/>
      <c r="CW174" s="327"/>
    </row>
    <row r="175" spans="2:101" x14ac:dyDescent="0.25">
      <c r="B175" s="273" t="s">
        <v>504</v>
      </c>
      <c r="C175" s="273" t="s">
        <v>47</v>
      </c>
      <c r="D175" s="607" t="e">
        <f>((D174/1000)*Biodiesel!$D$199)</f>
        <v>#DIV/0!</v>
      </c>
      <c r="E175" s="259"/>
      <c r="F175" s="278" t="e">
        <f>D175*'Dados auxiliares'!$H$131</f>
        <v>#DIV/0!</v>
      </c>
      <c r="G175" s="598"/>
      <c r="H175" s="550" t="e">
        <f t="shared" si="10"/>
        <v>#DIV/0!</v>
      </c>
      <c r="I175" s="328"/>
      <c r="BY175" s="351"/>
      <c r="BZ175" s="327"/>
      <c r="CA175" s="327"/>
      <c r="CB175" s="327"/>
      <c r="CC175" s="327"/>
      <c r="CD175" s="327"/>
      <c r="CE175" s="327"/>
      <c r="CF175" s="327"/>
      <c r="CG175" s="327"/>
      <c r="CH175" s="327"/>
      <c r="CI175" s="327"/>
      <c r="CJ175" s="327"/>
      <c r="CK175" s="327"/>
      <c r="CL175" s="327"/>
      <c r="CM175" s="327"/>
      <c r="CN175" s="327"/>
      <c r="CO175" s="327"/>
      <c r="CP175" s="327"/>
      <c r="CQ175" s="327"/>
      <c r="CR175" s="327"/>
      <c r="CS175" s="327"/>
      <c r="CT175" s="327"/>
      <c r="CU175" s="327"/>
      <c r="CV175" s="327"/>
      <c r="CW175" s="327"/>
    </row>
    <row r="176" spans="2:101" ht="18" x14ac:dyDescent="0.25">
      <c r="B176" s="273" t="s">
        <v>575</v>
      </c>
      <c r="C176" s="273" t="s">
        <v>506</v>
      </c>
      <c r="D176" s="607" t="e">
        <f>Biodiesel!$D$201*(1-Biodiesel!$D$202)*1000/((Biodiesel!$D$132+Biodiesel!$D$136+Biodiesel!$D$140+Biodiesel!$D$144+Biodiesel!$D$148+Biodiesel!$D$152+Biodiesel!$D$155+Biodiesel!$D$158))</f>
        <v>#DIV/0!</v>
      </c>
      <c r="E176" s="259"/>
      <c r="F176" s="277">
        <v>0</v>
      </c>
      <c r="G176" s="544"/>
      <c r="H176" s="550" t="e">
        <f t="shared" si="10"/>
        <v>#DIV/0!</v>
      </c>
      <c r="I176" s="328"/>
      <c r="BY176" s="351"/>
      <c r="BZ176" s="327"/>
      <c r="CA176" s="327"/>
      <c r="CB176" s="327"/>
      <c r="CC176" s="327"/>
      <c r="CD176" s="327"/>
      <c r="CE176" s="327"/>
      <c r="CF176" s="327"/>
      <c r="CG176" s="327"/>
      <c r="CH176" s="327"/>
      <c r="CI176" s="327"/>
      <c r="CJ176" s="327"/>
      <c r="CK176" s="327"/>
      <c r="CL176" s="327"/>
      <c r="CM176" s="327"/>
      <c r="CN176" s="327"/>
      <c r="CO176" s="327"/>
      <c r="CP176" s="327"/>
      <c r="CQ176" s="327"/>
      <c r="CR176" s="327"/>
      <c r="CS176" s="327"/>
      <c r="CT176" s="327"/>
      <c r="CU176" s="327"/>
      <c r="CV176" s="327"/>
      <c r="CW176" s="327"/>
    </row>
    <row r="177" spans="2:101" x14ac:dyDescent="0.25">
      <c r="B177" s="273" t="s">
        <v>576</v>
      </c>
      <c r="C177" s="273" t="s">
        <v>47</v>
      </c>
      <c r="D177" s="607" t="e">
        <f>((D176/1000)*Biodiesel!$D$203)</f>
        <v>#DIV/0!</v>
      </c>
      <c r="E177" s="259"/>
      <c r="F177" s="278" t="e">
        <f>D177*'Dados auxiliares'!$H$131</f>
        <v>#DIV/0!</v>
      </c>
      <c r="G177" s="598"/>
      <c r="H177" s="550" t="e">
        <f t="shared" si="10"/>
        <v>#DIV/0!</v>
      </c>
      <c r="I177" s="328"/>
      <c r="BY177" s="351"/>
      <c r="BZ177" s="327"/>
      <c r="CA177" s="327"/>
      <c r="CB177" s="327"/>
      <c r="CC177" s="327"/>
      <c r="CD177" s="327"/>
      <c r="CE177" s="327"/>
      <c r="CF177" s="327"/>
      <c r="CG177" s="327"/>
      <c r="CH177" s="327"/>
      <c r="CI177" s="327"/>
      <c r="CJ177" s="327"/>
      <c r="CK177" s="327"/>
      <c r="CL177" s="327"/>
      <c r="CM177" s="327"/>
      <c r="CN177" s="327"/>
      <c r="CO177" s="327"/>
      <c r="CP177" s="327"/>
      <c r="CQ177" s="327"/>
      <c r="CR177" s="327"/>
      <c r="CS177" s="327"/>
      <c r="CT177" s="327"/>
      <c r="CU177" s="327"/>
      <c r="CV177" s="327"/>
      <c r="CW177" s="327"/>
    </row>
    <row r="178" spans="2:101" ht="18" x14ac:dyDescent="0.25">
      <c r="B178" s="273" t="s">
        <v>577</v>
      </c>
      <c r="C178" s="273" t="s">
        <v>506</v>
      </c>
      <c r="D178" s="607" t="e">
        <f>Biodiesel!$D$205*(1-Biodiesel!$D$206)*1000/((Biodiesel!$D$132+Biodiesel!$D$136+Biodiesel!$D$140+Biodiesel!$D$144+Biodiesel!$D$148+Biodiesel!$D$152+Biodiesel!$D$155+Biodiesel!$D$158))</f>
        <v>#DIV/0!</v>
      </c>
      <c r="E178" s="259"/>
      <c r="F178" s="278" t="e">
        <f>D178*'Dados auxiliares'!$H$78</f>
        <v>#DIV/0!</v>
      </c>
      <c r="G178" s="598"/>
      <c r="H178" s="550" t="e">
        <f t="shared" si="10"/>
        <v>#DIV/0!</v>
      </c>
      <c r="I178" s="328"/>
      <c r="BY178" s="351"/>
      <c r="BZ178" s="327"/>
      <c r="CA178" s="327"/>
      <c r="CB178" s="327"/>
      <c r="CC178" s="327"/>
      <c r="CD178" s="327"/>
      <c r="CE178" s="327"/>
      <c r="CF178" s="327"/>
      <c r="CG178" s="327"/>
      <c r="CH178" s="327"/>
      <c r="CI178" s="327"/>
      <c r="CJ178" s="327"/>
      <c r="CK178" s="327"/>
      <c r="CL178" s="327"/>
      <c r="CM178" s="327"/>
      <c r="CN178" s="327"/>
      <c r="CO178" s="327"/>
      <c r="CP178" s="327"/>
      <c r="CQ178" s="327"/>
      <c r="CR178" s="327"/>
      <c r="CS178" s="327"/>
      <c r="CT178" s="327"/>
      <c r="CU178" s="327"/>
      <c r="CV178" s="327"/>
      <c r="CW178" s="327"/>
    </row>
    <row r="179" spans="2:101" x14ac:dyDescent="0.25">
      <c r="B179" s="273" t="s">
        <v>578</v>
      </c>
      <c r="C179" s="273" t="s">
        <v>47</v>
      </c>
      <c r="D179" s="607" t="e">
        <f>((D178/1000)*Biodiesel!$D$207)</f>
        <v>#DIV/0!</v>
      </c>
      <c r="E179" s="259"/>
      <c r="F179" s="278" t="e">
        <f>D179*'Dados auxiliares'!$H$131</f>
        <v>#DIV/0!</v>
      </c>
      <c r="G179" s="598"/>
      <c r="H179" s="550" t="e">
        <f t="shared" si="10"/>
        <v>#DIV/0!</v>
      </c>
      <c r="I179" s="328"/>
      <c r="BY179" s="351"/>
      <c r="BZ179" s="327"/>
      <c r="CA179" s="327"/>
      <c r="CB179" s="327"/>
      <c r="CC179" s="327"/>
      <c r="CD179" s="327"/>
      <c r="CE179" s="327"/>
      <c r="CF179" s="327"/>
      <c r="CG179" s="327"/>
      <c r="CH179" s="327"/>
      <c r="CI179" s="327"/>
      <c r="CJ179" s="327"/>
      <c r="CK179" s="327"/>
      <c r="CL179" s="327"/>
      <c r="CM179" s="327"/>
      <c r="CN179" s="327"/>
      <c r="CO179" s="327"/>
      <c r="CP179" s="327"/>
      <c r="CQ179" s="327"/>
      <c r="CR179" s="327"/>
      <c r="CS179" s="327"/>
      <c r="CT179" s="327"/>
      <c r="CU179" s="327"/>
      <c r="CV179" s="327"/>
      <c r="CW179" s="327"/>
    </row>
    <row r="180" spans="2:101" ht="18" x14ac:dyDescent="0.25">
      <c r="B180" s="338" t="s">
        <v>52</v>
      </c>
      <c r="C180" s="280" t="s">
        <v>0</v>
      </c>
      <c r="D180" s="280" t="s">
        <v>593</v>
      </c>
      <c r="E180" s="282"/>
      <c r="F180" s="283" t="s">
        <v>594</v>
      </c>
      <c r="G180" s="272"/>
      <c r="H180" s="283" t="s">
        <v>535</v>
      </c>
    </row>
    <row r="181" spans="2:101" x14ac:dyDescent="0.25">
      <c r="B181" s="273" t="s">
        <v>437</v>
      </c>
      <c r="C181" s="273" t="s">
        <v>1</v>
      </c>
      <c r="D181" s="278" t="e">
        <f>D165*'FE''s queima combustíveis'!$I$50/1000</f>
        <v>#DIV/0!</v>
      </c>
      <c r="E181" s="259"/>
      <c r="F181" s="238" t="e">
        <f t="shared" ref="F181:F191" si="11">D181*1000</f>
        <v>#DIV/0!</v>
      </c>
      <c r="G181" s="590"/>
      <c r="H181" s="550" t="e">
        <f>(F181*$F$131)/$E$131</f>
        <v>#DIV/0!</v>
      </c>
    </row>
    <row r="182" spans="2:101" x14ac:dyDescent="0.25">
      <c r="B182" s="273" t="s">
        <v>443</v>
      </c>
      <c r="C182" s="273" t="s">
        <v>1</v>
      </c>
      <c r="D182" s="278" t="e">
        <f>D166*'FE''s queima combustíveis'!$I$51/1000</f>
        <v>#DIV/0!</v>
      </c>
      <c r="E182" s="259"/>
      <c r="F182" s="238" t="e">
        <f t="shared" si="11"/>
        <v>#DIV/0!</v>
      </c>
      <c r="G182" s="590"/>
      <c r="H182" s="550" t="e">
        <f t="shared" si="10"/>
        <v>#DIV/0!</v>
      </c>
    </row>
    <row r="183" spans="2:101" x14ac:dyDescent="0.25">
      <c r="B183" s="273" t="s">
        <v>848</v>
      </c>
      <c r="C183" s="273" t="s">
        <v>1</v>
      </c>
      <c r="D183" s="278" t="e">
        <f>D167*'FE''s queima combustíveis'!$I$53/1000</f>
        <v>#DIV/0!</v>
      </c>
      <c r="E183" s="259"/>
      <c r="F183" s="238" t="e">
        <f>D183*1000</f>
        <v>#DIV/0!</v>
      </c>
      <c r="G183" s="590"/>
      <c r="H183" s="550" t="e">
        <f t="shared" si="10"/>
        <v>#DIV/0!</v>
      </c>
    </row>
    <row r="184" spans="2:101" x14ac:dyDescent="0.25">
      <c r="B184" s="273" t="s">
        <v>926</v>
      </c>
      <c r="C184" s="273" t="s">
        <v>1</v>
      </c>
      <c r="D184" s="278">
        <f>Biodiesel!D185*Biodiesel!G185*'FE''s queima combustíveis'!$I$41/1000</f>
        <v>0</v>
      </c>
      <c r="E184" s="259"/>
      <c r="F184" s="238">
        <f t="shared" si="11"/>
        <v>0</v>
      </c>
      <c r="G184" s="590"/>
      <c r="H184" s="550" t="e">
        <f t="shared" si="10"/>
        <v>#DIV/0!</v>
      </c>
    </row>
    <row r="185" spans="2:101" x14ac:dyDescent="0.25">
      <c r="B185" s="273" t="s">
        <v>925</v>
      </c>
      <c r="C185" s="273" t="s">
        <v>1</v>
      </c>
      <c r="D185" s="278">
        <f>Biodiesel!D186*Biodiesel!G186*'FE''s queima combustíveis'!$I$41/1000</f>
        <v>0</v>
      </c>
      <c r="E185" s="259"/>
      <c r="F185" s="238">
        <f t="shared" si="11"/>
        <v>0</v>
      </c>
      <c r="G185" s="590"/>
      <c r="H185" s="550" t="e">
        <f t="shared" si="10"/>
        <v>#DIV/0!</v>
      </c>
    </row>
    <row r="186" spans="2:101" x14ac:dyDescent="0.25">
      <c r="B186" s="273" t="s">
        <v>581</v>
      </c>
      <c r="C186" s="273" t="s">
        <v>1</v>
      </c>
      <c r="D186" s="278" t="e">
        <f>D169*'FE''s queima combustíveis'!$I$46*('Dados auxiliares'!$D$27/1000)/1000</f>
        <v>#DIV/0!</v>
      </c>
      <c r="E186" s="259"/>
      <c r="F186" s="238" t="e">
        <f t="shared" si="11"/>
        <v>#DIV/0!</v>
      </c>
      <c r="G186" s="590"/>
      <c r="H186" s="550" t="e">
        <f t="shared" si="10"/>
        <v>#DIV/0!</v>
      </c>
    </row>
    <row r="187" spans="2:101" x14ac:dyDescent="0.25">
      <c r="B187" s="273" t="s">
        <v>582</v>
      </c>
      <c r="C187" s="273" t="s">
        <v>1</v>
      </c>
      <c r="D187" s="278" t="e">
        <f>D176*'FE''s queima combustíveis'!$I$36/1000</f>
        <v>#DIV/0!</v>
      </c>
      <c r="E187" s="259"/>
      <c r="F187" s="238" t="e">
        <f t="shared" si="11"/>
        <v>#DIV/0!</v>
      </c>
      <c r="G187" s="590"/>
      <c r="H187" s="550" t="e">
        <f t="shared" si="10"/>
        <v>#DIV/0!</v>
      </c>
    </row>
    <row r="188" spans="2:101" x14ac:dyDescent="0.25">
      <c r="B188" s="273" t="s">
        <v>583</v>
      </c>
      <c r="C188" s="273" t="s">
        <v>1</v>
      </c>
      <c r="D188" s="278" t="e">
        <f>D178*'FE''s queima combustíveis'!$I$37/1000</f>
        <v>#DIV/0!</v>
      </c>
      <c r="E188" s="259"/>
      <c r="F188" s="238" t="e">
        <f t="shared" si="11"/>
        <v>#DIV/0!</v>
      </c>
      <c r="G188" s="590"/>
      <c r="H188" s="550" t="e">
        <f t="shared" si="10"/>
        <v>#DIV/0!</v>
      </c>
    </row>
    <row r="189" spans="2:101" x14ac:dyDescent="0.25">
      <c r="B189" s="273" t="s">
        <v>520</v>
      </c>
      <c r="C189" s="273" t="s">
        <v>1</v>
      </c>
      <c r="D189" s="278" t="e">
        <f>D170*'FE''s queima combustíveis'!$I$38/1000</f>
        <v>#DIV/0!</v>
      </c>
      <c r="E189" s="259"/>
      <c r="F189" s="238" t="e">
        <f t="shared" si="11"/>
        <v>#DIV/0!</v>
      </c>
      <c r="G189" s="590"/>
      <c r="H189" s="550" t="e">
        <f t="shared" si="10"/>
        <v>#DIV/0!</v>
      </c>
    </row>
    <row r="190" spans="2:101" x14ac:dyDescent="0.25">
      <c r="B190" s="273" t="s">
        <v>518</v>
      </c>
      <c r="C190" s="273" t="s">
        <v>1</v>
      </c>
      <c r="D190" s="278" t="e">
        <f>D172*'FE''s queima combustíveis'!$I$39/1000</f>
        <v>#DIV/0!</v>
      </c>
      <c r="E190" s="259"/>
      <c r="F190" s="238" t="e">
        <f t="shared" si="11"/>
        <v>#DIV/0!</v>
      </c>
      <c r="G190" s="590"/>
      <c r="H190" s="550" t="e">
        <f t="shared" si="10"/>
        <v>#DIV/0!</v>
      </c>
    </row>
    <row r="191" spans="2:101" x14ac:dyDescent="0.25">
      <c r="B191" s="273" t="s">
        <v>519</v>
      </c>
      <c r="C191" s="273" t="s">
        <v>1</v>
      </c>
      <c r="D191" s="278" t="e">
        <f>D174*'FE''s queima combustíveis'!$I$40/1000</f>
        <v>#DIV/0!</v>
      </c>
      <c r="E191" s="259"/>
      <c r="F191" s="238" t="e">
        <f t="shared" si="11"/>
        <v>#DIV/0!</v>
      </c>
      <c r="G191" s="590"/>
      <c r="H191" s="550" t="e">
        <f t="shared" si="10"/>
        <v>#DIV/0!</v>
      </c>
      <c r="I191" s="342"/>
      <c r="J191" s="342"/>
    </row>
    <row r="192" spans="2:101" x14ac:dyDescent="0.25">
      <c r="B192" s="315"/>
      <c r="C192" s="315"/>
      <c r="D192" s="315"/>
      <c r="E192" s="315"/>
      <c r="F192" s="315"/>
      <c r="H192" s="315"/>
    </row>
    <row r="193" spans="2:12" ht="18" x14ac:dyDescent="0.25">
      <c r="B193" s="276" t="s">
        <v>54</v>
      </c>
      <c r="C193" s="611" t="s">
        <v>886</v>
      </c>
      <c r="D193" s="274"/>
      <c r="E193" s="275"/>
      <c r="F193" s="290" t="e">
        <f>SUM(F181:F191)</f>
        <v>#DIV/0!</v>
      </c>
      <c r="G193" s="597"/>
      <c r="H193" s="290" t="e">
        <f t="shared" ref="H193" si="12">(F193*$F$131)/$E$131</f>
        <v>#DIV/0!</v>
      </c>
      <c r="J193" s="88"/>
      <c r="L193" s="343"/>
    </row>
    <row r="194" spans="2:12" ht="18" x14ac:dyDescent="0.25">
      <c r="B194" s="276" t="s">
        <v>61</v>
      </c>
      <c r="C194" s="611" t="s">
        <v>886</v>
      </c>
      <c r="D194" s="274"/>
      <c r="E194" s="275"/>
      <c r="F194" s="290" t="e">
        <f>SUM(F136:F179)</f>
        <v>#DIV/0!</v>
      </c>
      <c r="G194" s="597"/>
      <c r="H194" s="290" t="e">
        <f t="shared" ref="H194:H195" si="13">(F194*$F$131)/$E$131</f>
        <v>#DIV/0!</v>
      </c>
      <c r="J194" s="88"/>
      <c r="L194" s="321"/>
    </row>
    <row r="195" spans="2:12" ht="18" x14ac:dyDescent="0.25">
      <c r="B195" s="276" t="s">
        <v>55</v>
      </c>
      <c r="C195" s="611" t="s">
        <v>886</v>
      </c>
      <c r="D195" s="274"/>
      <c r="E195" s="275"/>
      <c r="F195" s="290" t="e">
        <f>F194+F193</f>
        <v>#DIV/0!</v>
      </c>
      <c r="G195" s="597"/>
      <c r="H195" s="290" t="e">
        <f t="shared" si="13"/>
        <v>#DIV/0!</v>
      </c>
      <c r="J195" s="88"/>
      <c r="K195" s="321"/>
      <c r="L195" s="321"/>
    </row>
    <row r="196" spans="2:12" x14ac:dyDescent="0.25">
      <c r="D196" s="330"/>
      <c r="H196" s="85"/>
      <c r="J196" s="88"/>
      <c r="K196" s="322"/>
      <c r="L196" s="326"/>
    </row>
    <row r="197" spans="2:12" ht="18" x14ac:dyDescent="0.25">
      <c r="B197" s="276" t="s">
        <v>55</v>
      </c>
      <c r="C197" s="611" t="s">
        <v>886</v>
      </c>
      <c r="D197" s="330"/>
      <c r="H197" s="85"/>
      <c r="J197" s="88"/>
      <c r="K197" s="332"/>
      <c r="L197" s="333"/>
    </row>
    <row r="198" spans="2:12" ht="15" customHeight="1" x14ac:dyDescent="0.25">
      <c r="H198" s="85"/>
      <c r="J198" s="88"/>
      <c r="K198" s="332"/>
      <c r="L198" s="333"/>
    </row>
    <row r="199" spans="2:12" ht="15" customHeight="1" x14ac:dyDescent="0.25">
      <c r="B199" s="737" t="s">
        <v>524</v>
      </c>
      <c r="C199" s="737"/>
      <c r="D199" s="737"/>
      <c r="E199" s="737"/>
      <c r="F199" s="737"/>
      <c r="G199" s="453"/>
      <c r="H199" s="85"/>
      <c r="J199" s="88"/>
      <c r="K199" s="332"/>
      <c r="L199" s="333"/>
    </row>
    <row r="200" spans="2:12" ht="15" customHeight="1" x14ac:dyDescent="0.25">
      <c r="B200" s="573" t="s">
        <v>904</v>
      </c>
      <c r="C200" s="280"/>
      <c r="D200" s="280"/>
      <c r="E200" s="280"/>
      <c r="F200" s="280"/>
      <c r="G200" s="583"/>
      <c r="H200" s="85"/>
      <c r="J200" s="88"/>
      <c r="K200" s="332"/>
      <c r="L200" s="333"/>
    </row>
    <row r="201" spans="2:12" ht="15" customHeight="1" x14ac:dyDescent="0.25">
      <c r="B201" s="300" t="s">
        <v>529</v>
      </c>
      <c r="C201" s="300" t="s">
        <v>0</v>
      </c>
      <c r="D201" s="300" t="s">
        <v>123</v>
      </c>
      <c r="E201" s="300"/>
      <c r="F201" s="300"/>
      <c r="G201" s="600"/>
      <c r="H201" s="85"/>
      <c r="J201" s="88"/>
      <c r="K201" s="332"/>
      <c r="L201" s="333"/>
    </row>
    <row r="202" spans="2:12" ht="15" customHeight="1" x14ac:dyDescent="0.25">
      <c r="B202" s="273" t="s">
        <v>525</v>
      </c>
      <c r="C202" s="611" t="s">
        <v>887</v>
      </c>
      <c r="D202" s="607" t="e">
        <f>$D$131*Biodiesel!D212</f>
        <v>#DIV/0!</v>
      </c>
      <c r="E202" s="278"/>
      <c r="F202" s="278"/>
      <c r="G202" s="598"/>
      <c r="H202" s="85"/>
      <c r="J202" s="88"/>
      <c r="K202" s="332"/>
      <c r="L202" s="333"/>
    </row>
    <row r="203" spans="2:12" ht="15" customHeight="1" x14ac:dyDescent="0.25">
      <c r="B203" s="273" t="s">
        <v>531</v>
      </c>
      <c r="C203" s="94" t="s">
        <v>258</v>
      </c>
      <c r="D203" s="608">
        <f>'Dados auxiliares'!C159</f>
        <v>700</v>
      </c>
      <c r="E203" s="277"/>
      <c r="F203" s="277"/>
      <c r="G203" s="544"/>
      <c r="H203" s="85"/>
      <c r="J203" s="88"/>
      <c r="K203" s="332"/>
      <c r="L203" s="333"/>
    </row>
    <row r="204" spans="2:12" ht="15" customHeight="1" x14ac:dyDescent="0.25">
      <c r="B204" s="273" t="s">
        <v>528</v>
      </c>
      <c r="C204" s="611" t="s">
        <v>888</v>
      </c>
      <c r="D204" s="607" t="e">
        <f>D202/1000*D203</f>
        <v>#DIV/0!</v>
      </c>
      <c r="E204" s="278"/>
      <c r="F204" s="278"/>
      <c r="G204" s="598"/>
      <c r="H204" s="85"/>
      <c r="J204" s="88"/>
      <c r="K204" s="332"/>
      <c r="L204" s="333"/>
    </row>
    <row r="205" spans="2:12" ht="15" customHeight="1" x14ac:dyDescent="0.25">
      <c r="B205" s="273" t="s">
        <v>52</v>
      </c>
      <c r="C205" s="611" t="s">
        <v>889</v>
      </c>
      <c r="D205" s="607" t="e">
        <f>D204*'Dados auxiliares'!$H$132</f>
        <v>#DIV/0!</v>
      </c>
      <c r="E205" s="278"/>
      <c r="F205" s="278"/>
      <c r="G205" s="598"/>
      <c r="H205" s="85"/>
      <c r="J205" s="88"/>
      <c r="K205" s="332"/>
      <c r="L205" s="333"/>
    </row>
    <row r="206" spans="2:12" ht="15" customHeight="1" x14ac:dyDescent="0.25">
      <c r="B206" s="302" t="s">
        <v>52</v>
      </c>
      <c r="C206" s="303" t="s">
        <v>530</v>
      </c>
      <c r="D206" s="304" t="e">
        <f>D205/$E$131</f>
        <v>#DIV/0!</v>
      </c>
      <c r="E206" s="304"/>
      <c r="F206" s="304"/>
      <c r="G206" s="601"/>
      <c r="H206" s="85"/>
      <c r="J206" s="88"/>
      <c r="K206" s="332"/>
      <c r="L206" s="333"/>
    </row>
    <row r="207" spans="2:12" ht="15" customHeight="1" x14ac:dyDescent="0.25">
      <c r="B207" s="573" t="s">
        <v>907</v>
      </c>
      <c r="C207" s="573"/>
      <c r="D207" s="573"/>
      <c r="E207" s="573"/>
      <c r="F207" s="573"/>
      <c r="G207" s="583"/>
      <c r="H207" s="85"/>
      <c r="J207" s="88"/>
      <c r="K207" s="332"/>
      <c r="L207" s="333"/>
    </row>
    <row r="208" spans="2:12" ht="15" customHeight="1" x14ac:dyDescent="0.25">
      <c r="B208" s="300" t="s">
        <v>529</v>
      </c>
      <c r="C208" s="300" t="s">
        <v>0</v>
      </c>
      <c r="D208" s="300" t="s">
        <v>123</v>
      </c>
      <c r="E208" s="300"/>
      <c r="F208" s="300"/>
      <c r="G208" s="600"/>
      <c r="H208" s="85"/>
      <c r="J208" s="88"/>
      <c r="K208" s="332"/>
      <c r="L208" s="333"/>
    </row>
    <row r="209" spans="2:12" ht="15" customHeight="1" x14ac:dyDescent="0.25">
      <c r="B209" s="94" t="s">
        <v>525</v>
      </c>
      <c r="C209" s="611" t="s">
        <v>887</v>
      </c>
      <c r="D209" s="607" t="e">
        <f>$D$131*Biodiesel!$D$213</f>
        <v>#DIV/0!</v>
      </c>
      <c r="E209" s="607"/>
      <c r="F209" s="609"/>
      <c r="G209" s="601"/>
      <c r="H209" s="85"/>
      <c r="J209" s="88"/>
      <c r="K209" s="332"/>
      <c r="L209" s="333"/>
    </row>
    <row r="210" spans="2:12" ht="15" customHeight="1" x14ac:dyDescent="0.25">
      <c r="B210" s="94" t="s">
        <v>531</v>
      </c>
      <c r="C210" s="94" t="s">
        <v>258</v>
      </c>
      <c r="D210" s="608">
        <f>'Dados auxiliares'!K159</f>
        <v>1300</v>
      </c>
      <c r="E210" s="608"/>
      <c r="F210" s="609"/>
      <c r="G210" s="601"/>
      <c r="H210" s="85"/>
      <c r="J210" s="88"/>
      <c r="K210" s="332"/>
      <c r="L210" s="333"/>
    </row>
    <row r="211" spans="2:12" ht="15" customHeight="1" x14ac:dyDescent="0.25">
      <c r="B211" s="94" t="s">
        <v>528</v>
      </c>
      <c r="C211" s="611" t="s">
        <v>888</v>
      </c>
      <c r="D211" s="607" t="e">
        <f>D209/1000*D210</f>
        <v>#DIV/0!</v>
      </c>
      <c r="E211" s="607"/>
      <c r="F211" s="609"/>
      <c r="G211" s="601"/>
      <c r="H211" s="85"/>
      <c r="J211" s="88"/>
      <c r="K211" s="332"/>
      <c r="L211" s="333"/>
    </row>
    <row r="212" spans="2:12" ht="15" customHeight="1" x14ac:dyDescent="0.25">
      <c r="B212" s="94" t="s">
        <v>908</v>
      </c>
      <c r="C212" s="94" t="s">
        <v>258</v>
      </c>
      <c r="D212" s="608">
        <f>'Dados auxiliares'!L159</f>
        <v>1240</v>
      </c>
      <c r="E212" s="608"/>
      <c r="F212" s="609"/>
      <c r="G212" s="601"/>
      <c r="H212" s="85"/>
      <c r="J212" s="88"/>
      <c r="K212" s="332"/>
      <c r="L212" s="333"/>
    </row>
    <row r="213" spans="2:12" ht="15" customHeight="1" x14ac:dyDescent="0.25">
      <c r="B213" s="94" t="s">
        <v>909</v>
      </c>
      <c r="C213" s="611" t="s">
        <v>888</v>
      </c>
      <c r="D213" s="607" t="e">
        <f>D209/1000*D212</f>
        <v>#DIV/0!</v>
      </c>
      <c r="E213" s="607"/>
      <c r="F213" s="609"/>
      <c r="G213" s="601"/>
      <c r="H213" s="85"/>
      <c r="J213" s="88"/>
      <c r="K213" s="332"/>
      <c r="L213" s="333"/>
    </row>
    <row r="214" spans="2:12" ht="15" customHeight="1" x14ac:dyDescent="0.25">
      <c r="B214" s="94" t="s">
        <v>52</v>
      </c>
      <c r="C214" s="611" t="s">
        <v>889</v>
      </c>
      <c r="D214" s="607" t="e">
        <f>D211*'Dados auxiliares'!$H$132+D213*'Dados auxiliares'!$H$134</f>
        <v>#DIV/0!</v>
      </c>
      <c r="E214" s="607"/>
      <c r="F214" s="609"/>
      <c r="G214" s="601"/>
      <c r="H214" s="85"/>
      <c r="J214" s="88"/>
      <c r="K214" s="332"/>
      <c r="L214" s="333"/>
    </row>
    <row r="215" spans="2:12" ht="15" customHeight="1" x14ac:dyDescent="0.25">
      <c r="B215" s="302" t="s">
        <v>52</v>
      </c>
      <c r="C215" s="303" t="s">
        <v>530</v>
      </c>
      <c r="D215" s="304" t="e">
        <f>D214/$E$131</f>
        <v>#DIV/0!</v>
      </c>
      <c r="E215" s="304"/>
      <c r="F215" s="304"/>
      <c r="G215" s="601"/>
      <c r="H215" s="85"/>
      <c r="J215" s="88"/>
      <c r="K215" s="332"/>
      <c r="L215" s="333"/>
    </row>
    <row r="216" spans="2:12" ht="15" customHeight="1" x14ac:dyDescent="0.25">
      <c r="B216" s="573" t="s">
        <v>906</v>
      </c>
      <c r="C216" s="573"/>
      <c r="D216" s="573"/>
      <c r="E216" s="573"/>
      <c r="F216" s="573"/>
      <c r="G216" s="583"/>
      <c r="H216" s="85"/>
      <c r="J216" s="88"/>
      <c r="K216" s="332"/>
      <c r="L216" s="333"/>
    </row>
    <row r="217" spans="2:12" ht="15" customHeight="1" x14ac:dyDescent="0.25">
      <c r="B217" s="300" t="s">
        <v>529</v>
      </c>
      <c r="C217" s="300" t="s">
        <v>0</v>
      </c>
      <c r="D217" s="300" t="s">
        <v>123</v>
      </c>
      <c r="E217" s="300"/>
      <c r="F217" s="300"/>
      <c r="G217" s="600"/>
      <c r="H217" s="85"/>
      <c r="J217" s="88"/>
      <c r="K217" s="332"/>
      <c r="L217" s="333"/>
    </row>
    <row r="218" spans="2:12" ht="15" customHeight="1" x14ac:dyDescent="0.25">
      <c r="B218" s="273" t="s">
        <v>525</v>
      </c>
      <c r="C218" s="611" t="s">
        <v>887</v>
      </c>
      <c r="D218" s="607" t="e">
        <f>$D$131*Biodiesel!$D$214</f>
        <v>#DIV/0!</v>
      </c>
      <c r="E218" s="278"/>
      <c r="F218" s="301"/>
      <c r="G218" s="601"/>
      <c r="H218" s="85"/>
      <c r="J218" s="88"/>
      <c r="K218" s="332"/>
      <c r="L218" s="333"/>
    </row>
    <row r="219" spans="2:12" ht="15" customHeight="1" x14ac:dyDescent="0.25">
      <c r="B219" s="273" t="s">
        <v>531</v>
      </c>
      <c r="C219" s="94" t="s">
        <v>258</v>
      </c>
      <c r="D219" s="608">
        <f>'Dados auxiliares'!G159</f>
        <v>300</v>
      </c>
      <c r="E219" s="277"/>
      <c r="F219" s="301"/>
      <c r="G219" s="601"/>
      <c r="H219" s="85"/>
      <c r="J219" s="88"/>
      <c r="K219" s="332"/>
      <c r="L219" s="333"/>
    </row>
    <row r="220" spans="2:12" ht="15" customHeight="1" x14ac:dyDescent="0.25">
      <c r="B220" s="273" t="s">
        <v>528</v>
      </c>
      <c r="C220" s="611" t="s">
        <v>888</v>
      </c>
      <c r="D220" s="607" t="e">
        <f>D218/1000*D219</f>
        <v>#DIV/0!</v>
      </c>
      <c r="E220" s="278"/>
      <c r="F220" s="301"/>
      <c r="G220" s="601"/>
      <c r="H220" s="85"/>
      <c r="J220" s="88"/>
      <c r="K220" s="332"/>
      <c r="L220" s="333"/>
    </row>
    <row r="221" spans="2:12" x14ac:dyDescent="0.25">
      <c r="B221" s="273" t="s">
        <v>534</v>
      </c>
      <c r="C221" s="94" t="s">
        <v>258</v>
      </c>
      <c r="D221" s="608">
        <f>'Dados auxiliares'!F159</f>
        <v>1200</v>
      </c>
      <c r="E221" s="277"/>
      <c r="F221" s="301"/>
      <c r="G221" s="601"/>
      <c r="H221" s="85"/>
    </row>
    <row r="222" spans="2:12" ht="18" x14ac:dyDescent="0.25">
      <c r="B222" s="273" t="s">
        <v>311</v>
      </c>
      <c r="C222" s="611" t="s">
        <v>888</v>
      </c>
      <c r="D222" s="607" t="e">
        <f>D218/1000*D221</f>
        <v>#DIV/0!</v>
      </c>
      <c r="E222" s="278"/>
      <c r="F222" s="301"/>
      <c r="G222" s="601"/>
      <c r="H222" s="333"/>
    </row>
    <row r="223" spans="2:12" ht="18" x14ac:dyDescent="0.25">
      <c r="B223" s="273" t="s">
        <v>52</v>
      </c>
      <c r="C223" s="611" t="s">
        <v>889</v>
      </c>
      <c r="D223" s="607" t="e">
        <f>D220*'Dados auxiliares'!$H$132+D222*'Dados auxiliares'!$H$135</f>
        <v>#DIV/0!</v>
      </c>
      <c r="E223" s="278"/>
      <c r="F223" s="301"/>
      <c r="G223" s="601"/>
      <c r="H223" s="333"/>
    </row>
    <row r="224" spans="2:12" ht="18" x14ac:dyDescent="0.25">
      <c r="B224" s="302" t="s">
        <v>52</v>
      </c>
      <c r="C224" s="303" t="s">
        <v>530</v>
      </c>
      <c r="D224" s="304" t="e">
        <f>D223/$E$131</f>
        <v>#DIV/0!</v>
      </c>
      <c r="E224" s="304"/>
      <c r="F224" s="304"/>
      <c r="G224" s="601"/>
      <c r="H224" s="333"/>
    </row>
    <row r="225" spans="2:8" x14ac:dyDescent="0.25">
      <c r="B225" s="71"/>
      <c r="C225" s="71"/>
      <c r="D225" s="71"/>
      <c r="E225" s="71"/>
      <c r="F225" s="71"/>
      <c r="G225" s="71"/>
      <c r="H225" s="333"/>
    </row>
    <row r="226" spans="2:8" ht="18" x14ac:dyDescent="0.25">
      <c r="B226" s="279" t="s">
        <v>55</v>
      </c>
      <c r="C226" s="279" t="s">
        <v>535</v>
      </c>
      <c r="D226" s="290" t="e">
        <f>D206+D215+D224</f>
        <v>#DIV/0!</v>
      </c>
      <c r="E226" s="305"/>
      <c r="F226" s="305"/>
      <c r="G226" s="602"/>
      <c r="H226" s="333"/>
    </row>
    <row r="227" spans="2:8" x14ac:dyDescent="0.25">
      <c r="H227" s="333"/>
    </row>
    <row r="228" spans="2:8" x14ac:dyDescent="0.25">
      <c r="H228" s="333"/>
    </row>
    <row r="229" spans="2:8" x14ac:dyDescent="0.25">
      <c r="H229" s="85"/>
    </row>
    <row r="230" spans="2:8" x14ac:dyDescent="0.25">
      <c r="H230" s="85"/>
    </row>
    <row r="231" spans="2:8" x14ac:dyDescent="0.25">
      <c r="H231" s="85"/>
    </row>
    <row r="232" spans="2:8" x14ac:dyDescent="0.25">
      <c r="H232" s="85"/>
    </row>
    <row r="233" spans="2:8" x14ac:dyDescent="0.25">
      <c r="H233" s="85"/>
    </row>
    <row r="234" spans="2:8" x14ac:dyDescent="0.25">
      <c r="H234" s="85"/>
    </row>
  </sheetData>
  <mergeCells count="16">
    <mergeCell ref="H13:H17"/>
    <mergeCell ref="H75:H78"/>
    <mergeCell ref="H129:H133"/>
    <mergeCell ref="B199:F199"/>
    <mergeCell ref="B13:F13"/>
    <mergeCell ref="C3:D3"/>
    <mergeCell ref="C4:D4"/>
    <mergeCell ref="B2:F2"/>
    <mergeCell ref="B75:F75"/>
    <mergeCell ref="B129:F129"/>
    <mergeCell ref="O133:O134"/>
    <mergeCell ref="Q133:Q134"/>
    <mergeCell ref="K133:K134"/>
    <mergeCell ref="L133:L134"/>
    <mergeCell ref="J133:J134"/>
    <mergeCell ref="M133:N134"/>
  </mergeCells>
  <pageMargins left="0.511811024" right="0.511811024" top="0.78740157499999996" bottom="0.78740157499999996" header="0.31496062000000002" footer="0.31496062000000002"/>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Plan24">
    <tabColor rgb="FFA8C615"/>
  </sheetPr>
  <dimension ref="B1:U407"/>
  <sheetViews>
    <sheetView showGridLines="0" workbookViewId="0">
      <selection activeCell="D26" sqref="D26"/>
    </sheetView>
  </sheetViews>
  <sheetFormatPr defaultColWidth="9.140625" defaultRowHeight="15" x14ac:dyDescent="0.25"/>
  <cols>
    <col min="1" max="1" width="5.7109375" style="85" customWidth="1"/>
    <col min="2" max="2" width="35.7109375" style="85" customWidth="1"/>
    <col min="3" max="3" width="20.7109375" style="85" customWidth="1"/>
    <col min="4" max="4" width="15.7109375" style="88" customWidth="1"/>
    <col min="5" max="5" width="16.7109375" style="85" customWidth="1"/>
    <col min="6" max="6" width="30.140625" style="85" customWidth="1"/>
    <col min="7" max="7" width="20.7109375" style="85" customWidth="1"/>
    <col min="8" max="8" width="17.42578125" style="85" customWidth="1"/>
    <col min="9" max="9" width="9.140625" style="85"/>
    <col min="10" max="12" width="9.140625" style="85" customWidth="1"/>
    <col min="13" max="16384" width="9.140625" style="85"/>
  </cols>
  <sheetData>
    <row r="1" spans="2:10" ht="90" customHeight="1" x14ac:dyDescent="0.25">
      <c r="B1" s="120"/>
      <c r="C1" s="120"/>
      <c r="D1" s="120"/>
      <c r="E1" s="120"/>
      <c r="F1" s="120"/>
      <c r="G1" s="120"/>
      <c r="H1" s="120"/>
      <c r="I1" s="120"/>
    </row>
    <row r="2" spans="2:10" s="52" customFormat="1" ht="25.15" customHeight="1" x14ac:dyDescent="0.25">
      <c r="B2" s="52" t="s">
        <v>957</v>
      </c>
    </row>
    <row r="3" spans="2:10" s="108" customFormat="1" x14ac:dyDescent="0.25">
      <c r="C3" s="103"/>
    </row>
    <row r="4" spans="2:10" ht="15.75" x14ac:dyDescent="0.25">
      <c r="B4" s="181" t="s">
        <v>238</v>
      </c>
      <c r="C4" s="726" t="s">
        <v>538</v>
      </c>
      <c r="D4" s="727"/>
      <c r="E4" s="727"/>
      <c r="F4" s="727"/>
      <c r="G4" s="727"/>
      <c r="H4" s="728"/>
      <c r="I4" s="108"/>
    </row>
    <row r="5" spans="2:10" ht="6" customHeight="1" x14ac:dyDescent="0.25">
      <c r="B5" s="182"/>
      <c r="C5" s="114"/>
      <c r="D5" s="114"/>
      <c r="E5" s="114"/>
      <c r="F5" s="114"/>
      <c r="G5" s="114"/>
      <c r="H5" s="114"/>
      <c r="I5" s="108"/>
    </row>
    <row r="6" spans="2:10" ht="15.75" x14ac:dyDescent="0.25">
      <c r="B6" s="181" t="s">
        <v>342</v>
      </c>
      <c r="C6" s="726" t="s">
        <v>343</v>
      </c>
      <c r="D6" s="727"/>
      <c r="E6" s="727"/>
      <c r="F6" s="727"/>
      <c r="G6" s="727"/>
      <c r="H6" s="728"/>
      <c r="I6" s="108"/>
    </row>
    <row r="7" spans="2:10" ht="6" customHeight="1" x14ac:dyDescent="0.25">
      <c r="B7" s="181"/>
      <c r="C7" s="114"/>
      <c r="D7" s="114"/>
      <c r="E7" s="114"/>
      <c r="F7" s="114"/>
      <c r="G7" s="114"/>
      <c r="H7" s="114"/>
      <c r="I7" s="108"/>
    </row>
    <row r="8" spans="2:10" ht="15.75" x14ac:dyDescent="0.25">
      <c r="B8" s="181" t="s">
        <v>239</v>
      </c>
      <c r="C8" s="726"/>
      <c r="D8" s="727"/>
      <c r="E8" s="727"/>
      <c r="F8" s="727"/>
      <c r="G8" s="727"/>
      <c r="H8" s="728"/>
      <c r="I8" s="108"/>
    </row>
    <row r="9" spans="2:10" ht="6" customHeight="1" x14ac:dyDescent="0.25">
      <c r="B9" s="182"/>
      <c r="C9" s="114"/>
      <c r="D9" s="114"/>
      <c r="E9" s="115"/>
      <c r="F9" s="115"/>
      <c r="G9" s="115"/>
      <c r="H9" s="115"/>
      <c r="I9" s="108"/>
    </row>
    <row r="10" spans="2:10" ht="15.75" x14ac:dyDescent="0.25">
      <c r="B10" s="181" t="s">
        <v>240</v>
      </c>
      <c r="C10" s="726" t="s">
        <v>344</v>
      </c>
      <c r="D10" s="728"/>
      <c r="E10" s="116"/>
      <c r="F10" s="108"/>
      <c r="G10" s="108"/>
      <c r="H10" s="108"/>
      <c r="I10" s="108"/>
    </row>
    <row r="11" spans="2:10" s="108" customFormat="1" ht="15.75" x14ac:dyDescent="0.25">
      <c r="C11" s="112"/>
    </row>
    <row r="12" spans="2:10" ht="6" customHeight="1" x14ac:dyDescent="0.25">
      <c r="B12" s="151"/>
      <c r="C12" s="99"/>
      <c r="D12" s="99"/>
      <c r="E12" s="84"/>
      <c r="F12" s="99"/>
      <c r="G12" s="84"/>
      <c r="H12" s="84"/>
      <c r="I12" s="108"/>
      <c r="J12" s="108"/>
    </row>
    <row r="13" spans="2:10" ht="17.25" x14ac:dyDescent="0.25">
      <c r="B13" s="43"/>
      <c r="C13" s="729" t="s">
        <v>335</v>
      </c>
      <c r="D13" s="729"/>
      <c r="E13" s="84"/>
      <c r="F13" s="153"/>
      <c r="G13" s="84"/>
      <c r="H13" s="84"/>
      <c r="I13" s="108"/>
      <c r="J13" s="150"/>
    </row>
    <row r="14" spans="2:10" ht="6" customHeight="1" x14ac:dyDescent="0.25">
      <c r="B14" s="43"/>
      <c r="C14" s="95"/>
      <c r="D14" s="83"/>
      <c r="E14" s="84"/>
      <c r="F14" s="33"/>
      <c r="G14" s="84"/>
      <c r="H14" s="84"/>
      <c r="I14" s="108"/>
      <c r="J14" s="150"/>
    </row>
    <row r="15" spans="2:10" ht="31.5" x14ac:dyDescent="0.25">
      <c r="B15" s="534" t="s">
        <v>829</v>
      </c>
      <c r="C15" s="155">
        <f>SUM(C17:C21)</f>
        <v>0.550962365235796</v>
      </c>
      <c r="D15" s="736" t="s">
        <v>828</v>
      </c>
      <c r="E15" s="736"/>
      <c r="F15" s="736"/>
      <c r="G15" s="155">
        <f>G18-C15</f>
        <v>86.94903763476421</v>
      </c>
      <c r="H15" s="84"/>
      <c r="I15" s="108"/>
      <c r="J15" s="108"/>
    </row>
    <row r="16" spans="2:10" ht="6" customHeight="1" x14ac:dyDescent="0.25">
      <c r="B16" s="152"/>
      <c r="C16" s="82"/>
      <c r="D16" s="83"/>
      <c r="E16" s="84"/>
      <c r="F16" s="84"/>
      <c r="G16" s="84"/>
      <c r="H16" s="84"/>
      <c r="I16" s="108"/>
      <c r="J16" s="108"/>
    </row>
    <row r="17" spans="2:21" ht="15.75" x14ac:dyDescent="0.25">
      <c r="B17" s="228" t="s">
        <v>159</v>
      </c>
      <c r="C17" s="142">
        <f>IFERROR(IF($C$13=Listas!$B$25,_BioQavHEFA!C5,IF($C$13=Listas!$B$26,_BioQavHEFA!E5,IF($C$13=Listas!$B$27,_BioQavHEFA!H5,IF($C$13=Listas!#REF!,_BioQavHEFA!J5,0)))),0)</f>
        <v>0</v>
      </c>
      <c r="D17" s="84"/>
      <c r="E17" s="84"/>
      <c r="F17" s="153"/>
      <c r="G17" s="665" t="str">
        <f>CONCATENATE("Fóssil substituto: ",IF($C$13=Listas!$B$25,'Dados auxiliares'!$C$170,IF($C$13=Listas!$B$26,'Dados auxiliares'!$C$171,IF($C$13=Listas!$B$27,'Dados auxiliares'!$C$172,IF($C$13=Listas!#REF!,'Dados auxiliares'!$C$173,0)))))</f>
        <v>Fóssil substituto: Querosene de aviação</v>
      </c>
      <c r="H17" s="84"/>
      <c r="I17" s="108"/>
      <c r="J17" s="108"/>
    </row>
    <row r="18" spans="2:21" ht="17.25" x14ac:dyDescent="0.25">
      <c r="B18" s="228" t="s">
        <v>283</v>
      </c>
      <c r="C18" s="142">
        <f>IFERROR(IF($C$13=Listas!$B$25,_BioQavHEFA!C6,IF($C$13=Listas!$B$26,_BioQavHEFA!E6,IF($C$13=Listas!$B$27,_BioQavHEFA!H6,IF($C$13=Listas!#REF!,_BioQavHEFA!J6,0)))),0)</f>
        <v>0</v>
      </c>
      <c r="D18" s="84"/>
      <c r="E18" s="84"/>
      <c r="F18" s="153"/>
      <c r="G18" s="580">
        <f>IF($C$13=Listas!$B$25,'Dados auxiliares'!$F$170,IF($C$13=Listas!$B$26,'Dados auxiliares'!$F$171,IF($C$13=Listas!$B$27,'Dados auxiliares'!$F$172,IF($C$13=Listas!#REF!,'Dados auxiliares'!$F$173,0))))</f>
        <v>87.5</v>
      </c>
      <c r="H18" s="84"/>
      <c r="I18" s="108"/>
      <c r="J18" s="108"/>
    </row>
    <row r="19" spans="2:21" ht="15.75" x14ac:dyDescent="0.25">
      <c r="B19" s="228" t="s">
        <v>284</v>
      </c>
      <c r="C19" s="142">
        <f>IFERROR(IF($C$13=Listas!$B$25,_BioQavHEFA!C7,IF($C$13=Listas!$B$26,_BioQavHEFA!E7,IF($C$13=Listas!$B$27,_BioQavHEFA!H7,IF($C$13=Listas!#REF!,_BioQavHEFA!J7,0)))),0)</f>
        <v>0</v>
      </c>
      <c r="D19" s="84"/>
      <c r="E19" s="84"/>
      <c r="F19" s="153"/>
      <c r="G19" s="153" t="s">
        <v>539</v>
      </c>
      <c r="H19" s="84"/>
      <c r="I19" s="108"/>
      <c r="J19" s="108"/>
    </row>
    <row r="20" spans="2:21" ht="17.25" x14ac:dyDescent="0.25">
      <c r="B20" s="228" t="s">
        <v>161</v>
      </c>
      <c r="C20" s="142">
        <f>IFERROR(IF($C$13=Listas!$B$25,_BioQavHEFA!C8,IF($C$13=Listas!$B$26,_BioQavHEFA!E8,IF($C$13=Listas!$B$27,_BioQavHEFA!H8,IF($C$13=Listas!#REF!,_BioQavHEFA!J8,0)))),0)</f>
        <v>0</v>
      </c>
      <c r="D20" s="84"/>
      <c r="E20" s="84"/>
      <c r="F20" s="153"/>
      <c r="G20" s="154">
        <f>(G18-C15)/G18</f>
        <v>0.99370328725444812</v>
      </c>
      <c r="H20" s="84"/>
      <c r="I20" s="108"/>
      <c r="J20" s="108"/>
    </row>
    <row r="21" spans="2:21" ht="15.75" x14ac:dyDescent="0.25">
      <c r="B21" s="228" t="s">
        <v>189</v>
      </c>
      <c r="C21" s="142">
        <f>IFERROR(IF($C$13=Listas!$B$25,_BioQavHEFA!C9,IF($C$13=Listas!$B$26,_BioQavHEFA!E9,IF($C$13=Listas!$B$27,_BioQavHEFA!H9,IF($C$13=Listas!#REF!,_BioQavHEFA!J9,0)))),0)</f>
        <v>0.550962365235796</v>
      </c>
      <c r="D21" s="84"/>
      <c r="E21" s="84"/>
      <c r="F21" s="84"/>
      <c r="G21" s="84"/>
      <c r="H21" s="84"/>
      <c r="I21" s="108"/>
      <c r="J21" s="108"/>
    </row>
    <row r="22" spans="2:21" ht="6" customHeight="1" x14ac:dyDescent="0.25">
      <c r="B22" s="228"/>
      <c r="C22" s="55"/>
      <c r="D22" s="83"/>
      <c r="E22" s="84"/>
      <c r="F22" s="84"/>
      <c r="G22" s="84"/>
      <c r="H22" s="84"/>
      <c r="I22" s="108"/>
    </row>
    <row r="23" spans="2:21" x14ac:dyDescent="0.25">
      <c r="D23" s="85"/>
      <c r="G23" s="313"/>
    </row>
    <row r="24" spans="2:21" ht="18.75" x14ac:dyDescent="0.25">
      <c r="B24" s="732" t="s">
        <v>951</v>
      </c>
      <c r="C24" s="732"/>
      <c r="D24" s="732"/>
      <c r="E24" s="732"/>
      <c r="F24" s="732"/>
      <c r="G24" s="732"/>
      <c r="H24" s="732"/>
    </row>
    <row r="25" spans="2:21" ht="15.75" x14ac:dyDescent="0.25">
      <c r="B25" s="725" t="s">
        <v>276</v>
      </c>
      <c r="C25" s="725"/>
      <c r="D25" s="725"/>
      <c r="E25" s="725"/>
      <c r="F25" s="725"/>
      <c r="G25" s="725"/>
      <c r="H25" s="725"/>
      <c r="K25" s="310"/>
      <c r="L25" s="310"/>
      <c r="M25" s="312"/>
      <c r="N25" s="312"/>
      <c r="O25" s="312"/>
      <c r="P25" s="312"/>
    </row>
    <row r="26" spans="2:21" x14ac:dyDescent="0.25">
      <c r="B26" s="24"/>
      <c r="C26" s="91" t="s">
        <v>355</v>
      </c>
      <c r="D26" s="644"/>
      <c r="E26" s="92" t="s">
        <v>36</v>
      </c>
      <c r="F26" s="225"/>
      <c r="G26" s="89"/>
      <c r="H26" s="73"/>
    </row>
    <row r="27" spans="2:21" ht="6" customHeight="1" x14ac:dyDescent="0.25">
      <c r="D27" s="85"/>
      <c r="K27" s="78"/>
      <c r="L27" s="78"/>
    </row>
    <row r="28" spans="2:21" x14ac:dyDescent="0.25">
      <c r="B28" s="24"/>
      <c r="C28" s="91" t="s">
        <v>604</v>
      </c>
      <c r="D28" s="644"/>
      <c r="E28" s="92" t="s">
        <v>445</v>
      </c>
      <c r="F28" s="311" t="s">
        <v>134</v>
      </c>
      <c r="G28" s="670"/>
      <c r="H28" s="73"/>
    </row>
    <row r="29" spans="2:21" ht="30" customHeight="1" x14ac:dyDescent="0.25">
      <c r="B29" s="742" t="s">
        <v>996</v>
      </c>
      <c r="C29" s="743"/>
      <c r="D29" s="644"/>
      <c r="E29" s="685" t="s">
        <v>445</v>
      </c>
      <c r="F29" s="686"/>
      <c r="G29" s="687"/>
      <c r="H29" s="688"/>
    </row>
    <row r="30" spans="2:21" ht="6" customHeight="1" x14ac:dyDescent="0.25">
      <c r="B30" s="96"/>
      <c r="C30" s="96"/>
      <c r="D30" s="96"/>
      <c r="E30" s="96"/>
      <c r="F30" s="96"/>
      <c r="G30" s="96"/>
      <c r="H30" s="96"/>
    </row>
    <row r="31" spans="2:21" ht="6" customHeight="1" x14ac:dyDescent="0.25">
      <c r="B31" s="96"/>
      <c r="C31" s="96"/>
      <c r="D31" s="96"/>
      <c r="E31" s="96"/>
      <c r="F31" s="96"/>
      <c r="G31" s="96"/>
      <c r="H31" s="96"/>
      <c r="N31"/>
      <c r="O31"/>
      <c r="P31"/>
      <c r="Q31"/>
      <c r="R31"/>
      <c r="S31"/>
      <c r="T31"/>
      <c r="U31"/>
    </row>
    <row r="32" spans="2:21" ht="15.75" x14ac:dyDescent="0.25">
      <c r="B32" s="723" t="s">
        <v>338</v>
      </c>
      <c r="C32" s="723"/>
      <c r="D32" s="723"/>
      <c r="E32" s="723"/>
      <c r="F32" s="723"/>
      <c r="G32" s="723"/>
      <c r="H32" s="723"/>
      <c r="N32"/>
      <c r="O32"/>
      <c r="P32"/>
      <c r="Q32"/>
      <c r="R32"/>
      <c r="S32"/>
      <c r="T32"/>
      <c r="U32"/>
    </row>
    <row r="33" spans="2:21" x14ac:dyDescent="0.25">
      <c r="B33" s="97"/>
      <c r="C33" s="93" t="s">
        <v>164</v>
      </c>
      <c r="D33" s="644"/>
      <c r="E33" s="92" t="s">
        <v>446</v>
      </c>
      <c r="F33" s="533"/>
      <c r="G33" s="89"/>
      <c r="H33" s="73"/>
      <c r="N33"/>
      <c r="O33"/>
      <c r="P33"/>
      <c r="Q33"/>
      <c r="R33"/>
      <c r="S33"/>
      <c r="T33"/>
      <c r="U33"/>
    </row>
    <row r="34" spans="2:21" x14ac:dyDescent="0.25">
      <c r="B34" s="97"/>
      <c r="C34" s="93" t="s">
        <v>163</v>
      </c>
      <c r="D34" s="644"/>
      <c r="E34" s="92" t="s">
        <v>446</v>
      </c>
      <c r="F34" s="533"/>
      <c r="G34" s="89"/>
      <c r="H34" s="73"/>
      <c r="N34"/>
      <c r="O34"/>
      <c r="P34"/>
      <c r="Q34"/>
      <c r="R34"/>
      <c r="S34"/>
      <c r="T34"/>
      <c r="U34"/>
    </row>
    <row r="35" spans="2:21" x14ac:dyDescent="0.25">
      <c r="B35" s="97"/>
      <c r="C35" s="93" t="s">
        <v>28</v>
      </c>
      <c r="D35" s="644"/>
      <c r="E35" s="92" t="s">
        <v>446</v>
      </c>
      <c r="F35" s="533"/>
      <c r="G35" s="89"/>
      <c r="H35" s="73"/>
      <c r="N35"/>
      <c r="O35"/>
      <c r="P35"/>
      <c r="Q35"/>
      <c r="R35"/>
      <c r="S35"/>
      <c r="T35"/>
      <c r="U35"/>
    </row>
    <row r="36" spans="2:21" ht="6" customHeight="1" x14ac:dyDescent="0.25">
      <c r="B36" s="96"/>
      <c r="C36" s="96"/>
      <c r="D36" s="662"/>
      <c r="E36" s="96"/>
      <c r="F36" s="96"/>
      <c r="G36" s="96"/>
      <c r="H36" s="96"/>
      <c r="N36"/>
      <c r="O36"/>
      <c r="P36"/>
      <c r="Q36"/>
      <c r="R36"/>
      <c r="S36"/>
      <c r="T36"/>
      <c r="U36"/>
    </row>
    <row r="37" spans="2:21" ht="15.75" x14ac:dyDescent="0.25">
      <c r="B37" s="723" t="s">
        <v>341</v>
      </c>
      <c r="C37" s="723"/>
      <c r="D37" s="723"/>
      <c r="E37" s="723"/>
      <c r="F37" s="723"/>
      <c r="G37" s="723"/>
      <c r="H37" s="723"/>
      <c r="K37" s="78"/>
      <c r="L37" s="78"/>
      <c r="N37"/>
      <c r="O37"/>
      <c r="P37"/>
      <c r="Q37"/>
      <c r="R37"/>
      <c r="S37"/>
      <c r="T37"/>
      <c r="U37"/>
    </row>
    <row r="38" spans="2:21" x14ac:dyDescent="0.25">
      <c r="B38" s="93"/>
      <c r="C38" s="93" t="s">
        <v>341</v>
      </c>
      <c r="D38" s="644"/>
      <c r="E38" s="92" t="s">
        <v>446</v>
      </c>
      <c r="F38" s="27"/>
      <c r="G38" s="73"/>
      <c r="H38" s="73"/>
      <c r="N38"/>
      <c r="O38"/>
      <c r="P38"/>
      <c r="Q38"/>
      <c r="R38"/>
      <c r="S38"/>
      <c r="T38"/>
      <c r="U38"/>
    </row>
    <row r="39" spans="2:21" ht="6" customHeight="1" x14ac:dyDescent="0.25">
      <c r="B39" s="93"/>
      <c r="C39" s="96"/>
      <c r="D39" s="96"/>
      <c r="E39" s="96"/>
      <c r="F39" s="96"/>
      <c r="G39" s="96"/>
      <c r="H39" s="96"/>
      <c r="N39"/>
      <c r="O39"/>
      <c r="P39"/>
      <c r="Q39"/>
      <c r="R39"/>
      <c r="S39"/>
      <c r="T39"/>
      <c r="U39"/>
    </row>
    <row r="40" spans="2:21" ht="15.75" x14ac:dyDescent="0.25">
      <c r="B40" s="723" t="s">
        <v>339</v>
      </c>
      <c r="C40" s="723"/>
      <c r="D40" s="723"/>
      <c r="E40" s="723"/>
      <c r="F40" s="723"/>
      <c r="G40" s="723"/>
      <c r="H40" s="723"/>
      <c r="N40"/>
      <c r="O40"/>
      <c r="P40"/>
      <c r="Q40"/>
      <c r="R40"/>
      <c r="S40"/>
      <c r="T40"/>
      <c r="U40"/>
    </row>
    <row r="41" spans="2:21" x14ac:dyDescent="0.25">
      <c r="B41" s="86"/>
      <c r="C41" s="179" t="s">
        <v>153</v>
      </c>
      <c r="D41" s="644"/>
      <c r="E41" s="94" t="s">
        <v>540</v>
      </c>
      <c r="F41" s="59"/>
      <c r="G41" s="73"/>
      <c r="H41" s="73"/>
      <c r="N41"/>
      <c r="O41"/>
      <c r="P41"/>
      <c r="Q41"/>
      <c r="R41"/>
      <c r="S41"/>
      <c r="T41"/>
      <c r="U41"/>
    </row>
    <row r="42" spans="2:21" x14ac:dyDescent="0.25">
      <c r="B42" s="86"/>
      <c r="C42" s="179" t="s">
        <v>463</v>
      </c>
      <c r="D42" s="644"/>
      <c r="E42" s="94" t="s">
        <v>540</v>
      </c>
      <c r="F42" s="59"/>
      <c r="G42" s="73"/>
      <c r="H42" s="73"/>
      <c r="N42"/>
      <c r="O42"/>
      <c r="P42"/>
      <c r="Q42"/>
      <c r="R42"/>
      <c r="S42"/>
      <c r="T42"/>
      <c r="U42"/>
    </row>
    <row r="43" spans="2:21" x14ac:dyDescent="0.25">
      <c r="B43" s="86"/>
      <c r="C43" s="179" t="s">
        <v>463</v>
      </c>
      <c r="D43" s="644"/>
      <c r="E43" s="94" t="s">
        <v>541</v>
      </c>
      <c r="F43" s="59"/>
      <c r="G43" s="73"/>
      <c r="H43" s="73"/>
      <c r="N43"/>
      <c r="O43"/>
      <c r="P43"/>
      <c r="Q43"/>
      <c r="R43"/>
      <c r="S43"/>
      <c r="T43"/>
      <c r="U43"/>
    </row>
    <row r="44" spans="2:21" x14ac:dyDescent="0.25">
      <c r="B44" s="86"/>
      <c r="C44" s="179" t="s">
        <v>464</v>
      </c>
      <c r="D44" s="644"/>
      <c r="E44" s="94" t="s">
        <v>540</v>
      </c>
      <c r="F44" s="59"/>
      <c r="G44" s="73"/>
      <c r="H44" s="73"/>
      <c r="N44"/>
      <c r="O44"/>
      <c r="P44"/>
      <c r="Q44"/>
      <c r="R44"/>
      <c r="S44"/>
      <c r="T44"/>
      <c r="U44"/>
    </row>
    <row r="45" spans="2:21" x14ac:dyDescent="0.25">
      <c r="B45" s="86"/>
      <c r="C45" s="179" t="s">
        <v>464</v>
      </c>
      <c r="D45" s="644"/>
      <c r="E45" s="94" t="s">
        <v>541</v>
      </c>
      <c r="F45" s="59"/>
      <c r="G45" s="73"/>
      <c r="H45" s="73"/>
      <c r="N45"/>
      <c r="O45"/>
      <c r="P45"/>
      <c r="Q45"/>
      <c r="R45"/>
      <c r="S45"/>
      <c r="T45"/>
      <c r="U45"/>
    </row>
    <row r="46" spans="2:21" x14ac:dyDescent="0.25">
      <c r="B46" s="86"/>
      <c r="C46" s="179" t="s">
        <v>465</v>
      </c>
      <c r="D46" s="644"/>
      <c r="E46" s="94" t="s">
        <v>540</v>
      </c>
      <c r="F46" s="59"/>
      <c r="G46" s="73"/>
      <c r="H46" s="73"/>
      <c r="N46"/>
      <c r="O46"/>
      <c r="P46"/>
      <c r="Q46"/>
      <c r="R46"/>
      <c r="S46"/>
      <c r="T46"/>
      <c r="U46"/>
    </row>
    <row r="47" spans="2:21" x14ac:dyDescent="0.25">
      <c r="B47" s="86"/>
      <c r="C47" s="179" t="s">
        <v>457</v>
      </c>
      <c r="D47" s="644"/>
      <c r="E47" s="94" t="s">
        <v>540</v>
      </c>
      <c r="F47" s="59"/>
      <c r="G47" s="73"/>
      <c r="H47" s="73"/>
      <c r="N47"/>
      <c r="O47"/>
      <c r="P47"/>
      <c r="Q47"/>
      <c r="R47"/>
      <c r="S47"/>
      <c r="T47"/>
      <c r="U47"/>
    </row>
    <row r="48" spans="2:21" x14ac:dyDescent="0.25">
      <c r="B48" s="86"/>
      <c r="C48" s="179" t="s">
        <v>133</v>
      </c>
      <c r="D48" s="644"/>
      <c r="E48" s="94" t="s">
        <v>540</v>
      </c>
      <c r="F48" s="27"/>
      <c r="G48" s="73"/>
      <c r="H48" s="73"/>
      <c r="N48"/>
      <c r="O48"/>
      <c r="P48"/>
      <c r="Q48"/>
      <c r="R48"/>
      <c r="S48"/>
      <c r="T48"/>
      <c r="U48"/>
    </row>
    <row r="49" spans="2:21" x14ac:dyDescent="0.25">
      <c r="B49" s="86"/>
      <c r="C49" s="179" t="s">
        <v>458</v>
      </c>
      <c r="D49" s="644"/>
      <c r="E49" s="94" t="s">
        <v>540</v>
      </c>
      <c r="F49" s="27"/>
      <c r="G49" s="73"/>
      <c r="H49" s="73"/>
      <c r="N49"/>
      <c r="O49"/>
      <c r="P49"/>
      <c r="Q49"/>
      <c r="R49"/>
      <c r="S49"/>
      <c r="T49"/>
      <c r="U49"/>
    </row>
    <row r="50" spans="2:21" x14ac:dyDescent="0.25">
      <c r="B50" s="86"/>
      <c r="C50" s="179" t="s">
        <v>459</v>
      </c>
      <c r="D50" s="644"/>
      <c r="E50" s="94" t="s">
        <v>540</v>
      </c>
      <c r="F50" s="27"/>
      <c r="G50" s="73"/>
      <c r="H50" s="73"/>
      <c r="N50"/>
      <c r="O50"/>
      <c r="P50"/>
      <c r="Q50"/>
      <c r="R50"/>
      <c r="S50"/>
      <c r="T50"/>
      <c r="U50"/>
    </row>
    <row r="51" spans="2:21" x14ac:dyDescent="0.25">
      <c r="B51" s="86"/>
      <c r="C51" s="179" t="s">
        <v>460</v>
      </c>
      <c r="D51" s="644"/>
      <c r="E51" s="94" t="s">
        <v>541</v>
      </c>
      <c r="F51" s="27"/>
      <c r="G51" s="73"/>
      <c r="H51" s="73"/>
      <c r="N51"/>
      <c r="O51"/>
      <c r="P51"/>
      <c r="Q51"/>
      <c r="R51"/>
      <c r="S51"/>
      <c r="T51"/>
      <c r="U51"/>
    </row>
    <row r="52" spans="2:21" x14ac:dyDescent="0.25">
      <c r="B52" s="86"/>
      <c r="C52" s="179" t="s">
        <v>461</v>
      </c>
      <c r="D52" s="644"/>
      <c r="E52" s="94" t="s">
        <v>541</v>
      </c>
      <c r="F52" s="27"/>
      <c r="G52" s="73"/>
      <c r="H52" s="73"/>
      <c r="N52"/>
      <c r="O52"/>
      <c r="P52"/>
      <c r="Q52"/>
      <c r="R52"/>
      <c r="S52"/>
      <c r="T52"/>
      <c r="U52"/>
    </row>
    <row r="53" spans="2:21" x14ac:dyDescent="0.25">
      <c r="B53" s="86"/>
      <c r="C53" s="179" t="s">
        <v>462</v>
      </c>
      <c r="D53" s="644"/>
      <c r="E53" s="94" t="s">
        <v>542</v>
      </c>
      <c r="F53" s="27"/>
      <c r="G53" s="73"/>
      <c r="H53" s="73"/>
      <c r="N53"/>
      <c r="O53"/>
      <c r="P53"/>
      <c r="Q53"/>
      <c r="R53"/>
      <c r="S53"/>
      <c r="T53"/>
      <c r="U53"/>
    </row>
    <row r="54" spans="2:21" x14ac:dyDescent="0.25">
      <c r="B54" s="93" t="s">
        <v>30</v>
      </c>
      <c r="C54" s="629" t="s">
        <v>167</v>
      </c>
      <c r="D54" s="644"/>
      <c r="E54" s="94" t="s">
        <v>540</v>
      </c>
      <c r="F54" s="27"/>
      <c r="G54" s="73"/>
      <c r="H54" s="73"/>
      <c r="N54"/>
      <c r="O54"/>
      <c r="P54"/>
      <c r="Q54"/>
      <c r="R54"/>
      <c r="S54"/>
      <c r="T54"/>
      <c r="U54"/>
    </row>
    <row r="55" spans="2:21" x14ac:dyDescent="0.25">
      <c r="B55" s="93" t="s">
        <v>30</v>
      </c>
      <c r="C55" s="629" t="s">
        <v>167</v>
      </c>
      <c r="D55" s="644"/>
      <c r="E55" s="94" t="s">
        <v>541</v>
      </c>
      <c r="F55" s="27"/>
      <c r="G55" s="73"/>
      <c r="H55" s="73"/>
      <c r="N55"/>
      <c r="O55"/>
      <c r="P55"/>
      <c r="Q55"/>
      <c r="R55"/>
      <c r="S55"/>
      <c r="T55"/>
      <c r="U55"/>
    </row>
    <row r="56" spans="2:21" x14ac:dyDescent="0.25">
      <c r="B56" s="93" t="s">
        <v>30</v>
      </c>
      <c r="C56" s="637" t="s">
        <v>167</v>
      </c>
      <c r="D56" s="644"/>
      <c r="E56" s="94" t="s">
        <v>542</v>
      </c>
      <c r="F56" s="27"/>
      <c r="G56" s="73"/>
      <c r="H56" s="73"/>
      <c r="N56"/>
      <c r="O56"/>
      <c r="P56"/>
      <c r="Q56"/>
      <c r="R56"/>
      <c r="S56"/>
      <c r="T56"/>
      <c r="U56"/>
    </row>
    <row r="57" spans="2:21" ht="6" customHeight="1" x14ac:dyDescent="0.25">
      <c r="B57" s="93"/>
      <c r="C57" s="93"/>
      <c r="D57" s="93"/>
      <c r="E57" s="93"/>
      <c r="F57" s="93"/>
      <c r="G57" s="93"/>
      <c r="H57" s="93"/>
      <c r="N57"/>
      <c r="O57"/>
      <c r="P57"/>
      <c r="Q57"/>
      <c r="R57"/>
      <c r="S57"/>
      <c r="T57"/>
      <c r="U57"/>
    </row>
    <row r="58" spans="2:21" ht="15.75" x14ac:dyDescent="0.25">
      <c r="B58" s="723" t="s">
        <v>251</v>
      </c>
      <c r="C58" s="723"/>
      <c r="D58" s="723"/>
      <c r="E58" s="723"/>
      <c r="F58" s="723"/>
      <c r="G58" s="723"/>
      <c r="H58" s="723"/>
      <c r="N58"/>
      <c r="O58"/>
      <c r="P58"/>
      <c r="Q58"/>
      <c r="R58"/>
      <c r="S58"/>
      <c r="T58"/>
      <c r="U58"/>
    </row>
    <row r="59" spans="2:21" x14ac:dyDescent="0.25">
      <c r="B59" s="93" t="s">
        <v>30</v>
      </c>
      <c r="C59" s="629" t="s">
        <v>167</v>
      </c>
      <c r="D59" s="644"/>
      <c r="E59" s="94" t="s">
        <v>446</v>
      </c>
      <c r="F59" s="117" t="s">
        <v>205</v>
      </c>
      <c r="G59" s="644"/>
      <c r="H59" s="118" t="s">
        <v>365</v>
      </c>
      <c r="N59"/>
      <c r="O59"/>
      <c r="P59"/>
      <c r="Q59"/>
      <c r="R59"/>
      <c r="S59"/>
      <c r="T59"/>
      <c r="U59"/>
    </row>
    <row r="60" spans="2:21" x14ac:dyDescent="0.25">
      <c r="B60" s="93" t="s">
        <v>30</v>
      </c>
      <c r="C60" s="629" t="s">
        <v>167</v>
      </c>
      <c r="D60" s="644"/>
      <c r="E60" s="94" t="s">
        <v>446</v>
      </c>
      <c r="F60" s="117" t="s">
        <v>205</v>
      </c>
      <c r="G60" s="644"/>
      <c r="H60" s="118" t="s">
        <v>365</v>
      </c>
      <c r="N60"/>
      <c r="O60"/>
      <c r="P60"/>
      <c r="Q60"/>
      <c r="R60"/>
      <c r="S60"/>
      <c r="T60"/>
      <c r="U60"/>
    </row>
    <row r="61" spans="2:21" x14ac:dyDescent="0.25">
      <c r="B61" s="93" t="s">
        <v>30</v>
      </c>
      <c r="C61" s="629" t="s">
        <v>167</v>
      </c>
      <c r="D61" s="644"/>
      <c r="E61" s="94" t="s">
        <v>446</v>
      </c>
      <c r="F61" s="117" t="s">
        <v>205</v>
      </c>
      <c r="G61" s="644"/>
      <c r="H61" s="118" t="s">
        <v>365</v>
      </c>
      <c r="N61"/>
      <c r="O61"/>
      <c r="P61"/>
      <c r="Q61"/>
      <c r="R61"/>
      <c r="S61"/>
      <c r="T61"/>
      <c r="U61"/>
    </row>
    <row r="62" spans="2:21" x14ac:dyDescent="0.25">
      <c r="B62" s="93" t="s">
        <v>30</v>
      </c>
      <c r="C62" s="629" t="s">
        <v>167</v>
      </c>
      <c r="D62" s="644"/>
      <c r="E62" s="94" t="s">
        <v>446</v>
      </c>
      <c r="F62" s="117" t="s">
        <v>205</v>
      </c>
      <c r="G62" s="644"/>
      <c r="H62" s="118" t="s">
        <v>365</v>
      </c>
      <c r="N62"/>
      <c r="O62"/>
      <c r="P62"/>
      <c r="Q62"/>
      <c r="R62"/>
      <c r="S62"/>
      <c r="T62"/>
      <c r="U62"/>
    </row>
    <row r="63" spans="2:21" x14ac:dyDescent="0.25">
      <c r="B63" s="93" t="s">
        <v>30</v>
      </c>
      <c r="C63" s="629" t="s">
        <v>167</v>
      </c>
      <c r="D63" s="644"/>
      <c r="E63" s="94" t="s">
        <v>446</v>
      </c>
      <c r="F63" s="117" t="s">
        <v>205</v>
      </c>
      <c r="G63" s="644"/>
      <c r="H63" s="118" t="s">
        <v>365</v>
      </c>
      <c r="N63"/>
      <c r="O63"/>
      <c r="P63"/>
      <c r="Q63"/>
      <c r="R63"/>
      <c r="S63"/>
      <c r="T63"/>
      <c r="U63"/>
    </row>
    <row r="64" spans="2:21" ht="6" customHeight="1" x14ac:dyDescent="0.25">
      <c r="B64" s="93"/>
      <c r="C64" s="93"/>
      <c r="D64" s="93"/>
      <c r="E64" s="93"/>
      <c r="F64" s="93"/>
      <c r="G64" s="93"/>
      <c r="H64" s="93"/>
      <c r="N64"/>
      <c r="O64"/>
      <c r="P64"/>
      <c r="Q64"/>
      <c r="R64"/>
      <c r="S64"/>
      <c r="T64"/>
      <c r="U64"/>
    </row>
    <row r="65" spans="2:21" ht="15.75" x14ac:dyDescent="0.25">
      <c r="B65" s="723" t="s">
        <v>884</v>
      </c>
      <c r="C65" s="723"/>
      <c r="D65" s="723"/>
      <c r="E65" s="723"/>
      <c r="F65" s="723"/>
      <c r="G65" s="723"/>
      <c r="H65" s="723"/>
      <c r="N65"/>
      <c r="O65"/>
      <c r="P65"/>
      <c r="Q65"/>
      <c r="R65"/>
      <c r="S65"/>
      <c r="T65"/>
      <c r="U65"/>
    </row>
    <row r="66" spans="2:21" x14ac:dyDescent="0.25">
      <c r="B66" s="25"/>
      <c r="C66" s="93" t="s">
        <v>366</v>
      </c>
      <c r="D66" s="644"/>
      <c r="E66" s="94" t="s">
        <v>447</v>
      </c>
      <c r="F66" s="27"/>
      <c r="G66" s="27"/>
      <c r="H66" s="73"/>
      <c r="N66"/>
      <c r="O66"/>
      <c r="P66"/>
      <c r="Q66"/>
      <c r="R66"/>
      <c r="S66"/>
      <c r="T66"/>
      <c r="U66"/>
    </row>
    <row r="67" spans="2:21" x14ac:dyDescent="0.25">
      <c r="B67" s="25"/>
      <c r="C67" s="93" t="s">
        <v>367</v>
      </c>
      <c r="D67" s="644"/>
      <c r="E67" s="94" t="s">
        <v>447</v>
      </c>
      <c r="F67" s="27"/>
      <c r="G67" s="27"/>
      <c r="H67" s="73"/>
      <c r="N67"/>
      <c r="O67"/>
      <c r="P67"/>
      <c r="Q67"/>
      <c r="R67"/>
      <c r="S67"/>
      <c r="T67"/>
      <c r="U67"/>
    </row>
    <row r="68" spans="2:21" x14ac:dyDescent="0.25">
      <c r="B68" s="25"/>
      <c r="C68" s="93" t="s">
        <v>368</v>
      </c>
      <c r="D68" s="644"/>
      <c r="E68" s="94" t="s">
        <v>447</v>
      </c>
      <c r="F68" s="311" t="s">
        <v>379</v>
      </c>
      <c r="G68" s="670"/>
      <c r="H68" s="94"/>
      <c r="N68"/>
      <c r="O68"/>
      <c r="P68"/>
      <c r="Q68"/>
      <c r="R68"/>
      <c r="S68"/>
      <c r="T68"/>
      <c r="U68"/>
    </row>
    <row r="69" spans="2:21" x14ac:dyDescent="0.25">
      <c r="B69" s="25"/>
      <c r="C69" s="93" t="s">
        <v>369</v>
      </c>
      <c r="D69" s="644"/>
      <c r="E69" s="94" t="s">
        <v>447</v>
      </c>
      <c r="F69" s="27"/>
      <c r="G69" s="27"/>
      <c r="H69" s="73"/>
      <c r="N69"/>
      <c r="O69"/>
      <c r="P69"/>
      <c r="Q69"/>
      <c r="R69"/>
      <c r="S69"/>
      <c r="T69"/>
      <c r="U69"/>
    </row>
    <row r="70" spans="2:21" x14ac:dyDescent="0.25">
      <c r="B70" s="25"/>
      <c r="C70" s="93" t="s">
        <v>370</v>
      </c>
      <c r="D70" s="644"/>
      <c r="E70" s="94" t="s">
        <v>447</v>
      </c>
      <c r="F70" s="27"/>
      <c r="G70" s="27"/>
      <c r="H70" s="73"/>
      <c r="N70"/>
      <c r="O70"/>
      <c r="P70"/>
      <c r="Q70"/>
      <c r="R70"/>
      <c r="S70"/>
      <c r="T70"/>
      <c r="U70"/>
    </row>
    <row r="71" spans="2:21" x14ac:dyDescent="0.25">
      <c r="B71" s="25"/>
      <c r="C71" s="93" t="s">
        <v>371</v>
      </c>
      <c r="D71" s="644"/>
      <c r="E71" s="94" t="s">
        <v>447</v>
      </c>
      <c r="F71" s="27"/>
      <c r="G71" s="27"/>
      <c r="H71" s="73"/>
      <c r="N71"/>
      <c r="O71"/>
      <c r="P71"/>
      <c r="Q71"/>
      <c r="R71"/>
      <c r="S71"/>
      <c r="T71"/>
      <c r="U71"/>
    </row>
    <row r="72" spans="2:21" x14ac:dyDescent="0.25">
      <c r="B72" s="25"/>
      <c r="C72" s="93" t="s">
        <v>467</v>
      </c>
      <c r="D72" s="644"/>
      <c r="E72" s="94" t="s">
        <v>447</v>
      </c>
      <c r="F72" s="27"/>
      <c r="G72" s="27"/>
      <c r="H72" s="73"/>
      <c r="N72"/>
      <c r="O72"/>
      <c r="P72"/>
      <c r="Q72"/>
      <c r="R72"/>
      <c r="S72"/>
      <c r="T72"/>
      <c r="U72"/>
    </row>
    <row r="73" spans="2:21" x14ac:dyDescent="0.25">
      <c r="B73" s="25"/>
      <c r="C73" s="93" t="s">
        <v>46</v>
      </c>
      <c r="D73" s="644"/>
      <c r="E73" s="94" t="s">
        <v>447</v>
      </c>
      <c r="F73" s="27"/>
      <c r="G73" s="27"/>
      <c r="H73" s="73"/>
      <c r="N73"/>
      <c r="O73"/>
      <c r="P73"/>
      <c r="Q73"/>
      <c r="R73"/>
      <c r="S73"/>
      <c r="T73"/>
      <c r="U73"/>
    </row>
    <row r="74" spans="2:21" x14ac:dyDescent="0.25">
      <c r="B74" s="25"/>
      <c r="C74" s="93" t="s">
        <v>468</v>
      </c>
      <c r="D74" s="644"/>
      <c r="E74" s="94" t="s">
        <v>448</v>
      </c>
      <c r="F74" s="27"/>
      <c r="G74" s="39"/>
      <c r="H74" s="73"/>
      <c r="N74"/>
      <c r="O74"/>
      <c r="P74"/>
      <c r="Q74"/>
      <c r="R74"/>
      <c r="S74"/>
      <c r="T74"/>
      <c r="U74"/>
    </row>
    <row r="75" spans="2:21" x14ac:dyDescent="0.25">
      <c r="B75" s="25"/>
      <c r="C75" s="93" t="s">
        <v>469</v>
      </c>
      <c r="D75" s="644"/>
      <c r="E75" s="94" t="s">
        <v>448</v>
      </c>
      <c r="F75" s="27"/>
      <c r="G75" s="39"/>
      <c r="H75" s="73"/>
      <c r="N75"/>
      <c r="O75"/>
      <c r="P75"/>
      <c r="Q75"/>
      <c r="R75"/>
      <c r="S75"/>
      <c r="T75"/>
      <c r="U75"/>
    </row>
    <row r="76" spans="2:21" x14ac:dyDescent="0.25">
      <c r="B76" s="25"/>
      <c r="C76" s="93" t="s">
        <v>376</v>
      </c>
      <c r="D76" s="644"/>
      <c r="E76" s="94" t="s">
        <v>449</v>
      </c>
      <c r="F76" s="27"/>
      <c r="G76" s="39"/>
      <c r="H76" s="73"/>
      <c r="N76"/>
      <c r="O76"/>
      <c r="P76"/>
      <c r="Q76"/>
      <c r="R76"/>
      <c r="S76"/>
      <c r="T76"/>
      <c r="U76"/>
    </row>
    <row r="77" spans="2:21" x14ac:dyDescent="0.25">
      <c r="B77" s="25"/>
      <c r="C77" s="93" t="s">
        <v>375</v>
      </c>
      <c r="D77" s="644"/>
      <c r="E77" s="94" t="s">
        <v>449</v>
      </c>
      <c r="F77" s="27"/>
      <c r="G77" s="39"/>
      <c r="H77" s="73"/>
      <c r="N77"/>
      <c r="O77"/>
      <c r="P77"/>
      <c r="Q77"/>
      <c r="R77"/>
      <c r="S77"/>
      <c r="T77"/>
      <c r="U77"/>
    </row>
    <row r="78" spans="2:21" x14ac:dyDescent="0.25">
      <c r="B78" s="25"/>
      <c r="C78" s="93" t="s">
        <v>372</v>
      </c>
      <c r="D78" s="644"/>
      <c r="E78" s="94" t="s">
        <v>449</v>
      </c>
      <c r="F78" s="27"/>
      <c r="G78" s="39"/>
      <c r="H78" s="73"/>
      <c r="N78"/>
      <c r="O78"/>
      <c r="P78"/>
      <c r="Q78"/>
      <c r="R78"/>
      <c r="S78"/>
      <c r="T78"/>
      <c r="U78"/>
    </row>
    <row r="79" spans="2:21" x14ac:dyDescent="0.25">
      <c r="B79" s="25"/>
      <c r="C79" s="93" t="s">
        <v>373</v>
      </c>
      <c r="D79" s="644"/>
      <c r="E79" s="94" t="s">
        <v>449</v>
      </c>
      <c r="F79" s="27"/>
      <c r="G79" s="39"/>
      <c r="H79" s="73"/>
      <c r="N79"/>
      <c r="O79"/>
      <c r="P79"/>
      <c r="Q79"/>
      <c r="R79"/>
      <c r="S79"/>
      <c r="T79"/>
      <c r="U79"/>
    </row>
    <row r="80" spans="2:21" x14ac:dyDescent="0.25">
      <c r="B80" s="25"/>
      <c r="C80" s="93" t="s">
        <v>374</v>
      </c>
      <c r="D80" s="644"/>
      <c r="E80" s="94" t="s">
        <v>449</v>
      </c>
      <c r="F80" s="27"/>
      <c r="G80" s="39"/>
      <c r="H80" s="73"/>
      <c r="N80"/>
      <c r="O80"/>
      <c r="P80"/>
      <c r="Q80"/>
      <c r="R80"/>
      <c r="S80"/>
      <c r="T80"/>
      <c r="U80"/>
    </row>
    <row r="81" spans="2:21" ht="7.5" customHeight="1" x14ac:dyDescent="0.25">
      <c r="B81" s="25"/>
      <c r="C81" s="73"/>
      <c r="D81" s="25"/>
      <c r="E81" s="73"/>
      <c r="F81" s="27"/>
      <c r="G81" s="39"/>
      <c r="H81" s="73"/>
      <c r="N81"/>
      <c r="O81"/>
      <c r="P81"/>
      <c r="Q81"/>
      <c r="R81"/>
      <c r="S81"/>
      <c r="T81"/>
      <c r="U81"/>
    </row>
    <row r="82" spans="2:21" x14ac:dyDescent="0.25">
      <c r="D82" s="85"/>
      <c r="N82"/>
      <c r="O82"/>
      <c r="P82"/>
      <c r="Q82"/>
      <c r="R82"/>
      <c r="S82"/>
      <c r="T82"/>
      <c r="U82"/>
    </row>
    <row r="83" spans="2:21" ht="18.75" x14ac:dyDescent="0.25">
      <c r="B83" s="732" t="s">
        <v>451</v>
      </c>
      <c r="C83" s="732"/>
      <c r="D83" s="732"/>
      <c r="E83" s="732"/>
      <c r="F83" s="732"/>
      <c r="G83" s="732"/>
      <c r="H83" s="732"/>
      <c r="N83"/>
      <c r="O83"/>
      <c r="P83"/>
      <c r="Q83"/>
      <c r="R83"/>
      <c r="S83"/>
      <c r="T83"/>
      <c r="U83"/>
    </row>
    <row r="84" spans="2:21" ht="15.75" x14ac:dyDescent="0.25">
      <c r="B84" s="731" t="s">
        <v>986</v>
      </c>
      <c r="C84" s="731"/>
      <c r="D84" s="731"/>
      <c r="E84" s="731"/>
      <c r="F84" s="731"/>
      <c r="G84" s="731"/>
      <c r="H84" s="731"/>
      <c r="N84"/>
      <c r="O84"/>
      <c r="P84"/>
      <c r="Q84"/>
      <c r="R84"/>
      <c r="S84"/>
      <c r="T84"/>
      <c r="U84"/>
    </row>
    <row r="85" spans="2:21" x14ac:dyDescent="0.25">
      <c r="B85" s="25"/>
      <c r="C85" s="93" t="s">
        <v>545</v>
      </c>
      <c r="D85" s="644"/>
      <c r="E85" s="94" t="s">
        <v>445</v>
      </c>
      <c r="F85" s="311" t="s">
        <v>134</v>
      </c>
      <c r="G85" s="670"/>
      <c r="H85" s="309"/>
      <c r="N85"/>
      <c r="O85"/>
      <c r="P85"/>
      <c r="Q85"/>
      <c r="R85"/>
      <c r="S85"/>
      <c r="T85"/>
      <c r="U85"/>
    </row>
    <row r="86" spans="2:21" x14ac:dyDescent="0.25">
      <c r="B86" s="25"/>
      <c r="C86" s="93" t="s">
        <v>546</v>
      </c>
      <c r="D86" s="644"/>
      <c r="E86" s="94" t="s">
        <v>258</v>
      </c>
      <c r="F86" s="27"/>
      <c r="G86" s="27"/>
      <c r="H86" s="309"/>
      <c r="N86"/>
      <c r="O86"/>
      <c r="P86"/>
      <c r="Q86"/>
      <c r="R86"/>
      <c r="S86"/>
      <c r="T86"/>
      <c r="U86"/>
    </row>
    <row r="87" spans="2:21" x14ac:dyDescent="0.25">
      <c r="B87" s="25"/>
      <c r="C87" s="93" t="s">
        <v>543</v>
      </c>
      <c r="D87" s="644"/>
      <c r="E87" s="94" t="s">
        <v>446</v>
      </c>
      <c r="F87" s="27"/>
      <c r="G87" s="27"/>
      <c r="H87" s="309"/>
      <c r="N87"/>
      <c r="O87"/>
      <c r="P87"/>
      <c r="Q87"/>
      <c r="R87"/>
      <c r="S87"/>
      <c r="T87"/>
      <c r="U87"/>
    </row>
    <row r="88" spans="2:21" x14ac:dyDescent="0.25">
      <c r="B88" s="25"/>
      <c r="C88" s="93" t="s">
        <v>544</v>
      </c>
      <c r="D88" s="644"/>
      <c r="E88" s="94" t="s">
        <v>446</v>
      </c>
      <c r="F88" s="27"/>
      <c r="G88" s="27"/>
      <c r="H88" s="309"/>
      <c r="N88"/>
      <c r="O88"/>
      <c r="P88"/>
      <c r="Q88"/>
      <c r="R88"/>
      <c r="S88"/>
      <c r="T88"/>
      <c r="U88"/>
    </row>
    <row r="89" spans="2:21" ht="6" customHeight="1" x14ac:dyDescent="0.25">
      <c r="B89" s="25"/>
      <c r="C89" s="73"/>
      <c r="D89" s="25"/>
      <c r="E89" s="73"/>
      <c r="F89" s="27"/>
      <c r="G89" s="39"/>
      <c r="H89" s="73"/>
      <c r="N89"/>
      <c r="O89"/>
      <c r="P89"/>
      <c r="Q89"/>
      <c r="R89"/>
      <c r="S89"/>
      <c r="T89"/>
      <c r="U89"/>
    </row>
    <row r="90" spans="2:21" ht="15.75" x14ac:dyDescent="0.25">
      <c r="B90" s="731" t="s">
        <v>243</v>
      </c>
      <c r="C90" s="731"/>
      <c r="D90" s="731"/>
      <c r="E90" s="731"/>
      <c r="F90" s="731"/>
      <c r="G90" s="731"/>
      <c r="H90" s="731"/>
      <c r="N90"/>
      <c r="O90"/>
      <c r="P90"/>
      <c r="Q90"/>
      <c r="R90"/>
      <c r="S90"/>
      <c r="T90"/>
      <c r="U90"/>
    </row>
    <row r="91" spans="2:21" x14ac:dyDescent="0.25">
      <c r="B91" s="54"/>
      <c r="C91" s="93" t="s">
        <v>376</v>
      </c>
      <c r="D91" s="644"/>
      <c r="E91" s="94" t="s">
        <v>449</v>
      </c>
      <c r="F91" s="26"/>
      <c r="G91" s="26"/>
      <c r="H91" s="309"/>
      <c r="N91"/>
      <c r="O91"/>
      <c r="P91"/>
      <c r="Q91"/>
      <c r="R91"/>
      <c r="S91"/>
      <c r="T91"/>
      <c r="U91"/>
    </row>
    <row r="92" spans="2:21" x14ac:dyDescent="0.25">
      <c r="B92" s="54"/>
      <c r="C92" s="93" t="s">
        <v>375</v>
      </c>
      <c r="D92" s="644"/>
      <c r="E92" s="94" t="s">
        <v>449</v>
      </c>
      <c r="F92" s="26"/>
      <c r="G92" s="26"/>
      <c r="H92" s="309"/>
      <c r="N92"/>
      <c r="O92"/>
      <c r="P92"/>
      <c r="Q92"/>
      <c r="R92"/>
      <c r="S92"/>
      <c r="T92"/>
      <c r="U92"/>
    </row>
    <row r="93" spans="2:21" x14ac:dyDescent="0.25">
      <c r="B93" s="54"/>
      <c r="C93" s="93" t="s">
        <v>372</v>
      </c>
      <c r="D93" s="644"/>
      <c r="E93" s="94" t="s">
        <v>449</v>
      </c>
      <c r="F93" s="26"/>
      <c r="G93" s="26"/>
      <c r="H93" s="309"/>
      <c r="N93"/>
      <c r="O93"/>
      <c r="P93"/>
      <c r="Q93"/>
      <c r="R93"/>
      <c r="S93"/>
      <c r="T93"/>
      <c r="U93"/>
    </row>
    <row r="94" spans="2:21" x14ac:dyDescent="0.25">
      <c r="B94" s="54"/>
      <c r="C94" s="93" t="s">
        <v>373</v>
      </c>
      <c r="D94" s="644"/>
      <c r="E94" s="94" t="s">
        <v>449</v>
      </c>
      <c r="F94" s="26"/>
      <c r="G94" s="26"/>
      <c r="H94" s="309"/>
      <c r="N94"/>
      <c r="O94"/>
      <c r="P94"/>
      <c r="Q94"/>
      <c r="R94"/>
      <c r="S94"/>
      <c r="T94"/>
      <c r="U94"/>
    </row>
    <row r="95" spans="2:21" x14ac:dyDescent="0.25">
      <c r="B95" s="54"/>
      <c r="C95" s="93" t="s">
        <v>374</v>
      </c>
      <c r="D95" s="644"/>
      <c r="E95" s="94" t="s">
        <v>449</v>
      </c>
      <c r="F95" s="26"/>
      <c r="G95" s="26"/>
      <c r="H95" s="309"/>
      <c r="N95"/>
      <c r="O95"/>
      <c r="P95"/>
      <c r="Q95"/>
      <c r="R95"/>
      <c r="S95"/>
      <c r="T95"/>
      <c r="U95"/>
    </row>
    <row r="96" spans="2:21" x14ac:dyDescent="0.25">
      <c r="B96" s="54"/>
      <c r="C96" s="93" t="s">
        <v>366</v>
      </c>
      <c r="D96" s="644"/>
      <c r="E96" s="94" t="s">
        <v>447</v>
      </c>
      <c r="F96" s="27"/>
      <c r="G96" s="27"/>
      <c r="H96" s="73"/>
      <c r="N96"/>
      <c r="O96"/>
      <c r="P96"/>
      <c r="Q96"/>
      <c r="R96"/>
      <c r="S96"/>
      <c r="T96"/>
      <c r="U96"/>
    </row>
    <row r="97" spans="2:21" x14ac:dyDescent="0.25">
      <c r="B97" s="54"/>
      <c r="C97" s="93" t="s">
        <v>367</v>
      </c>
      <c r="D97" s="644"/>
      <c r="E97" s="94" t="s">
        <v>447</v>
      </c>
      <c r="F97" s="27"/>
      <c r="G97" s="27"/>
      <c r="H97" s="73"/>
      <c r="N97"/>
      <c r="O97"/>
      <c r="P97"/>
      <c r="Q97"/>
      <c r="R97"/>
      <c r="S97"/>
      <c r="T97"/>
      <c r="U97"/>
    </row>
    <row r="98" spans="2:21" x14ac:dyDescent="0.25">
      <c r="B98" s="54"/>
      <c r="C98" s="93" t="s">
        <v>368</v>
      </c>
      <c r="D98" s="644"/>
      <c r="E98" s="94" t="s">
        <v>447</v>
      </c>
      <c r="F98" s="311" t="s">
        <v>379</v>
      </c>
      <c r="G98" s="670"/>
      <c r="H98" s="94"/>
      <c r="N98"/>
      <c r="O98"/>
      <c r="P98"/>
      <c r="Q98"/>
      <c r="R98"/>
      <c r="S98"/>
      <c r="T98"/>
      <c r="U98"/>
    </row>
    <row r="99" spans="2:21" x14ac:dyDescent="0.25">
      <c r="B99" s="54"/>
      <c r="C99" s="93" t="s">
        <v>369</v>
      </c>
      <c r="D99" s="644"/>
      <c r="E99" s="94" t="s">
        <v>447</v>
      </c>
      <c r="F99" s="27"/>
      <c r="G99" s="27"/>
      <c r="H99" s="73"/>
      <c r="N99"/>
      <c r="O99"/>
      <c r="P99"/>
      <c r="Q99"/>
      <c r="R99"/>
      <c r="S99"/>
      <c r="T99"/>
      <c r="U99"/>
    </row>
    <row r="100" spans="2:21" x14ac:dyDescent="0.25">
      <c r="B100" s="54"/>
      <c r="C100" s="93" t="s">
        <v>370</v>
      </c>
      <c r="D100" s="644"/>
      <c r="E100" s="94" t="s">
        <v>447</v>
      </c>
      <c r="F100" s="27"/>
      <c r="G100" s="27"/>
      <c r="H100" s="73"/>
      <c r="N100"/>
      <c r="O100"/>
      <c r="P100"/>
      <c r="Q100"/>
      <c r="R100"/>
      <c r="S100"/>
      <c r="T100"/>
      <c r="U100"/>
    </row>
    <row r="101" spans="2:21" x14ac:dyDescent="0.25">
      <c r="B101" s="54"/>
      <c r="C101" s="93" t="s">
        <v>371</v>
      </c>
      <c r="D101" s="644"/>
      <c r="E101" s="94" t="s">
        <v>447</v>
      </c>
      <c r="F101" s="27"/>
      <c r="G101" s="27"/>
      <c r="H101" s="73"/>
      <c r="N101"/>
      <c r="O101"/>
      <c r="P101"/>
      <c r="Q101"/>
      <c r="R101"/>
      <c r="S101"/>
      <c r="T101"/>
      <c r="U101"/>
    </row>
    <row r="102" spans="2:21" x14ac:dyDescent="0.25">
      <c r="B102" s="54"/>
      <c r="C102" s="93" t="s">
        <v>845</v>
      </c>
      <c r="D102" s="644"/>
      <c r="E102" s="94" t="s">
        <v>885</v>
      </c>
      <c r="F102" s="27"/>
      <c r="G102" s="27"/>
      <c r="H102" s="73"/>
      <c r="N102"/>
      <c r="O102"/>
      <c r="P102"/>
      <c r="Q102"/>
      <c r="R102"/>
      <c r="S102"/>
      <c r="T102"/>
      <c r="U102"/>
    </row>
    <row r="103" spans="2:21" x14ac:dyDescent="0.25">
      <c r="B103" s="54"/>
      <c r="C103" s="93" t="s">
        <v>923</v>
      </c>
      <c r="D103" s="644"/>
      <c r="E103" s="94" t="s">
        <v>448</v>
      </c>
      <c r="F103" s="141" t="s">
        <v>924</v>
      </c>
      <c r="G103" s="646"/>
      <c r="H103" s="410" t="s">
        <v>709</v>
      </c>
      <c r="N103"/>
      <c r="O103"/>
      <c r="P103"/>
      <c r="Q103"/>
      <c r="R103"/>
      <c r="S103"/>
      <c r="T103"/>
      <c r="U103"/>
    </row>
    <row r="104" spans="2:21" x14ac:dyDescent="0.25">
      <c r="B104" s="54"/>
      <c r="C104" s="93" t="s">
        <v>922</v>
      </c>
      <c r="D104" s="644"/>
      <c r="E104" s="94" t="s">
        <v>448</v>
      </c>
      <c r="F104" s="141" t="s">
        <v>924</v>
      </c>
      <c r="G104" s="646"/>
      <c r="H104" s="410" t="s">
        <v>709</v>
      </c>
      <c r="N104"/>
      <c r="O104"/>
      <c r="P104"/>
      <c r="Q104"/>
      <c r="R104"/>
      <c r="S104"/>
      <c r="T104"/>
      <c r="U104"/>
    </row>
    <row r="105" spans="2:21" x14ac:dyDescent="0.25">
      <c r="B105" s="54"/>
      <c r="C105" s="93" t="s">
        <v>572</v>
      </c>
      <c r="D105" s="644"/>
      <c r="E105" s="94" t="s">
        <v>448</v>
      </c>
      <c r="F105" s="26"/>
      <c r="G105" s="26"/>
      <c r="H105" s="26"/>
      <c r="N105"/>
      <c r="O105"/>
      <c r="P105"/>
      <c r="Q105"/>
      <c r="R105"/>
      <c r="S105"/>
      <c r="T105"/>
      <c r="U105"/>
    </row>
    <row r="106" spans="2:21" x14ac:dyDescent="0.25">
      <c r="B106" s="54"/>
      <c r="C106" s="730" t="s">
        <v>106</v>
      </c>
      <c r="D106" s="730"/>
      <c r="E106" s="730"/>
      <c r="F106" s="26"/>
      <c r="G106" s="26"/>
      <c r="H106" s="26"/>
      <c r="N106"/>
      <c r="O106"/>
      <c r="P106"/>
      <c r="Q106"/>
      <c r="R106"/>
      <c r="S106"/>
      <c r="T106"/>
      <c r="U106"/>
    </row>
    <row r="107" spans="2:21" x14ac:dyDescent="0.25">
      <c r="B107" s="54"/>
      <c r="C107" s="91" t="s">
        <v>392</v>
      </c>
      <c r="D107" s="644"/>
      <c r="E107" s="94" t="s">
        <v>446</v>
      </c>
      <c r="F107" s="26"/>
      <c r="G107" s="26"/>
      <c r="H107" s="26"/>
      <c r="N107"/>
      <c r="O107"/>
      <c r="P107"/>
      <c r="Q107"/>
      <c r="R107"/>
      <c r="S107"/>
      <c r="T107"/>
      <c r="U107"/>
    </row>
    <row r="108" spans="2:21" x14ac:dyDescent="0.25">
      <c r="B108" s="54"/>
      <c r="C108" s="91" t="s">
        <v>134</v>
      </c>
      <c r="D108" s="670"/>
      <c r="E108" s="94"/>
      <c r="F108" s="26"/>
      <c r="G108" s="26"/>
      <c r="H108" s="26"/>
      <c r="N108"/>
      <c r="O108"/>
      <c r="P108"/>
      <c r="Q108"/>
      <c r="R108"/>
      <c r="S108"/>
      <c r="T108"/>
      <c r="U108"/>
    </row>
    <row r="109" spans="2:21" x14ac:dyDescent="0.25">
      <c r="B109" s="54"/>
      <c r="C109" s="91" t="s">
        <v>257</v>
      </c>
      <c r="D109" s="644"/>
      <c r="E109" s="94" t="s">
        <v>258</v>
      </c>
      <c r="F109" s="26"/>
      <c r="G109" s="26"/>
      <c r="H109" s="26"/>
      <c r="N109"/>
      <c r="O109"/>
      <c r="P109"/>
      <c r="Q109"/>
      <c r="R109"/>
      <c r="S109"/>
      <c r="T109"/>
      <c r="U109"/>
    </row>
    <row r="110" spans="2:21" x14ac:dyDescent="0.25">
      <c r="B110" s="54"/>
      <c r="C110" s="730" t="s">
        <v>346</v>
      </c>
      <c r="D110" s="730"/>
      <c r="E110" s="730"/>
      <c r="F110" s="26"/>
      <c r="G110" s="26"/>
      <c r="H110" s="26"/>
      <c r="N110"/>
      <c r="O110"/>
      <c r="P110"/>
      <c r="Q110"/>
      <c r="R110"/>
      <c r="S110"/>
      <c r="T110"/>
      <c r="U110"/>
    </row>
    <row r="111" spans="2:21" x14ac:dyDescent="0.25">
      <c r="B111" s="54"/>
      <c r="C111" s="91" t="s">
        <v>392</v>
      </c>
      <c r="D111" s="644"/>
      <c r="E111" s="94" t="s">
        <v>446</v>
      </c>
      <c r="F111" s="26"/>
      <c r="G111" s="26"/>
      <c r="H111" s="26"/>
      <c r="N111"/>
      <c r="O111"/>
      <c r="P111"/>
      <c r="Q111"/>
      <c r="R111"/>
      <c r="S111"/>
      <c r="T111"/>
      <c r="U111"/>
    </row>
    <row r="112" spans="2:21" x14ac:dyDescent="0.25">
      <c r="B112" s="54"/>
      <c r="C112" s="91" t="s">
        <v>134</v>
      </c>
      <c r="D112" s="670"/>
      <c r="E112" s="94"/>
      <c r="F112" s="26"/>
      <c r="G112" s="26"/>
      <c r="H112" s="26"/>
      <c r="N112"/>
      <c r="O112"/>
      <c r="P112"/>
      <c r="Q112"/>
      <c r="R112"/>
      <c r="S112"/>
      <c r="T112"/>
      <c r="U112"/>
    </row>
    <row r="113" spans="2:21" x14ac:dyDescent="0.25">
      <c r="B113" s="54"/>
      <c r="C113" s="91" t="s">
        <v>257</v>
      </c>
      <c r="D113" s="644"/>
      <c r="E113" s="94" t="s">
        <v>258</v>
      </c>
      <c r="F113" s="26"/>
      <c r="G113" s="26"/>
      <c r="H113" s="26"/>
      <c r="N113"/>
      <c r="O113"/>
      <c r="P113"/>
      <c r="Q113"/>
      <c r="R113"/>
      <c r="S113"/>
      <c r="T113"/>
      <c r="U113"/>
    </row>
    <row r="114" spans="2:21" x14ac:dyDescent="0.25">
      <c r="B114" s="54"/>
      <c r="C114" s="730" t="s">
        <v>466</v>
      </c>
      <c r="D114" s="730"/>
      <c r="E114" s="730"/>
      <c r="F114" s="26"/>
      <c r="G114" s="26"/>
      <c r="H114" s="26"/>
      <c r="N114"/>
      <c r="O114"/>
      <c r="P114"/>
      <c r="Q114"/>
      <c r="R114"/>
      <c r="S114"/>
      <c r="T114"/>
      <c r="U114"/>
    </row>
    <row r="115" spans="2:21" x14ac:dyDescent="0.25">
      <c r="B115" s="54"/>
      <c r="C115" s="91" t="s">
        <v>392</v>
      </c>
      <c r="D115" s="644"/>
      <c r="E115" s="94" t="s">
        <v>446</v>
      </c>
      <c r="F115" s="26"/>
      <c r="G115" s="26"/>
      <c r="H115" s="26"/>
      <c r="N115"/>
      <c r="O115"/>
      <c r="P115"/>
      <c r="Q115"/>
      <c r="R115"/>
      <c r="S115"/>
      <c r="T115"/>
      <c r="U115"/>
    </row>
    <row r="116" spans="2:21" x14ac:dyDescent="0.25">
      <c r="B116" s="54"/>
      <c r="C116" s="91" t="s">
        <v>134</v>
      </c>
      <c r="D116" s="670"/>
      <c r="E116" s="94"/>
      <c r="F116" s="26"/>
      <c r="G116" s="26"/>
      <c r="H116" s="26"/>
      <c r="N116"/>
      <c r="O116"/>
      <c r="P116"/>
      <c r="Q116"/>
      <c r="R116"/>
      <c r="S116"/>
      <c r="T116"/>
      <c r="U116"/>
    </row>
    <row r="117" spans="2:21" x14ac:dyDescent="0.25">
      <c r="B117" s="54"/>
      <c r="C117" s="91" t="s">
        <v>257</v>
      </c>
      <c r="D117" s="644"/>
      <c r="E117" s="94" t="s">
        <v>258</v>
      </c>
      <c r="F117" s="26"/>
      <c r="G117" s="26"/>
      <c r="H117" s="26"/>
      <c r="N117"/>
      <c r="O117"/>
      <c r="P117"/>
      <c r="Q117"/>
      <c r="R117"/>
      <c r="S117"/>
      <c r="T117"/>
      <c r="U117"/>
    </row>
    <row r="118" spans="2:21" x14ac:dyDescent="0.25">
      <c r="B118" s="54"/>
      <c r="C118" s="730" t="s">
        <v>259</v>
      </c>
      <c r="D118" s="730"/>
      <c r="E118" s="730"/>
      <c r="F118" s="26"/>
      <c r="G118" s="26"/>
      <c r="H118" s="26"/>
      <c r="N118"/>
      <c r="O118"/>
      <c r="P118"/>
      <c r="Q118"/>
      <c r="R118"/>
      <c r="S118"/>
      <c r="T118"/>
      <c r="U118"/>
    </row>
    <row r="119" spans="2:21" x14ac:dyDescent="0.25">
      <c r="B119" s="54"/>
      <c r="C119" s="91" t="s">
        <v>392</v>
      </c>
      <c r="D119" s="644"/>
      <c r="E119" s="94" t="s">
        <v>446</v>
      </c>
      <c r="F119" s="26"/>
      <c r="G119" s="26"/>
      <c r="H119" s="26"/>
      <c r="N119"/>
      <c r="O119"/>
      <c r="P119"/>
      <c r="Q119"/>
      <c r="R119"/>
      <c r="S119"/>
      <c r="T119"/>
      <c r="U119"/>
    </row>
    <row r="120" spans="2:21" x14ac:dyDescent="0.25">
      <c r="B120" s="54"/>
      <c r="C120" s="91" t="s">
        <v>134</v>
      </c>
      <c r="D120" s="670"/>
      <c r="E120" s="94"/>
      <c r="F120" s="26"/>
      <c r="G120" s="26"/>
      <c r="H120" s="26"/>
      <c r="N120"/>
      <c r="O120"/>
      <c r="P120"/>
      <c r="Q120"/>
      <c r="R120"/>
      <c r="S120"/>
      <c r="T120"/>
      <c r="U120"/>
    </row>
    <row r="121" spans="2:21" x14ac:dyDescent="0.25">
      <c r="B121" s="54"/>
      <c r="C121" s="91" t="s">
        <v>257</v>
      </c>
      <c r="D121" s="644"/>
      <c r="E121" s="94" t="s">
        <v>258</v>
      </c>
      <c r="F121" s="26"/>
      <c r="G121" s="26"/>
      <c r="H121" s="26"/>
      <c r="N121"/>
      <c r="O121"/>
      <c r="P121"/>
      <c r="Q121"/>
      <c r="R121"/>
      <c r="S121"/>
      <c r="T121"/>
      <c r="U121"/>
    </row>
    <row r="122" spans="2:21" x14ac:dyDescent="0.25">
      <c r="B122" s="54"/>
      <c r="C122" s="730" t="s">
        <v>573</v>
      </c>
      <c r="D122" s="730"/>
      <c r="E122" s="730"/>
      <c r="F122" s="26"/>
      <c r="G122" s="26"/>
      <c r="H122" s="26"/>
      <c r="N122"/>
      <c r="O122"/>
      <c r="P122"/>
      <c r="Q122"/>
      <c r="R122"/>
      <c r="S122"/>
      <c r="T122"/>
      <c r="U122"/>
    </row>
    <row r="123" spans="2:21" x14ac:dyDescent="0.25">
      <c r="B123" s="54"/>
      <c r="C123" s="91" t="s">
        <v>392</v>
      </c>
      <c r="D123" s="644"/>
      <c r="E123" s="94" t="s">
        <v>446</v>
      </c>
      <c r="F123" s="26"/>
      <c r="G123" s="26"/>
      <c r="H123" s="26"/>
      <c r="N123"/>
      <c r="O123"/>
      <c r="P123"/>
      <c r="Q123"/>
      <c r="R123"/>
      <c r="S123"/>
      <c r="T123"/>
      <c r="U123"/>
    </row>
    <row r="124" spans="2:21" x14ac:dyDescent="0.25">
      <c r="B124" s="54"/>
      <c r="C124" s="91" t="s">
        <v>134</v>
      </c>
      <c r="D124" s="670"/>
      <c r="E124" s="94"/>
      <c r="F124" s="26"/>
      <c r="G124" s="26"/>
      <c r="H124" s="26"/>
      <c r="N124"/>
      <c r="O124"/>
      <c r="P124"/>
      <c r="Q124"/>
      <c r="R124"/>
      <c r="S124"/>
      <c r="T124"/>
      <c r="U124"/>
    </row>
    <row r="125" spans="2:21" x14ac:dyDescent="0.25">
      <c r="B125" s="54"/>
      <c r="C125" s="91" t="s">
        <v>257</v>
      </c>
      <c r="D125" s="644"/>
      <c r="E125" s="94" t="s">
        <v>258</v>
      </c>
      <c r="F125" s="26"/>
      <c r="G125" s="26"/>
      <c r="H125" s="26"/>
      <c r="N125"/>
      <c r="O125"/>
      <c r="P125"/>
      <c r="Q125"/>
      <c r="R125"/>
      <c r="S125"/>
      <c r="T125"/>
      <c r="U125"/>
    </row>
    <row r="126" spans="2:21" ht="6" customHeight="1" x14ac:dyDescent="0.25">
      <c r="B126" s="54"/>
      <c r="C126" s="54"/>
      <c r="D126" s="54"/>
      <c r="E126" s="54"/>
      <c r="F126" s="54"/>
      <c r="G126" s="54"/>
      <c r="H126" s="54"/>
      <c r="N126"/>
      <c r="O126"/>
      <c r="P126"/>
      <c r="Q126"/>
      <c r="R126"/>
      <c r="S126"/>
      <c r="T126"/>
      <c r="U126"/>
    </row>
    <row r="127" spans="2:21" x14ac:dyDescent="0.25">
      <c r="B127" s="61"/>
      <c r="C127" s="32"/>
      <c r="D127" s="32"/>
      <c r="E127" s="35"/>
      <c r="F127" s="38"/>
      <c r="G127" s="31"/>
      <c r="H127" s="78"/>
      <c r="N127"/>
      <c r="O127"/>
      <c r="P127"/>
      <c r="Q127"/>
      <c r="R127"/>
      <c r="S127"/>
      <c r="T127"/>
      <c r="U127"/>
    </row>
    <row r="128" spans="2:21" ht="18.75" x14ac:dyDescent="0.25">
      <c r="B128" s="732" t="s">
        <v>970</v>
      </c>
      <c r="C128" s="732"/>
      <c r="D128" s="732"/>
      <c r="E128" s="732"/>
      <c r="F128" s="732"/>
      <c r="G128" s="732"/>
      <c r="H128" s="732"/>
      <c r="N128"/>
      <c r="O128"/>
      <c r="P128"/>
      <c r="Q128"/>
      <c r="R128"/>
      <c r="S128"/>
      <c r="T128"/>
      <c r="U128"/>
    </row>
    <row r="129" spans="2:21" ht="15.75" x14ac:dyDescent="0.25">
      <c r="B129" s="731" t="s">
        <v>383</v>
      </c>
      <c r="C129" s="731"/>
      <c r="D129" s="731"/>
      <c r="E129" s="731"/>
      <c r="F129" s="731"/>
      <c r="G129" s="731"/>
      <c r="H129" s="731"/>
      <c r="N129"/>
      <c r="O129"/>
      <c r="P129"/>
      <c r="Q129"/>
      <c r="R129"/>
      <c r="S129"/>
      <c r="T129"/>
      <c r="U129"/>
    </row>
    <row r="130" spans="2:21" x14ac:dyDescent="0.25">
      <c r="B130" s="54"/>
      <c r="C130" s="406"/>
      <c r="D130" s="672" t="s">
        <v>912</v>
      </c>
      <c r="E130" s="406"/>
      <c r="F130" s="26"/>
      <c r="G130" s="26"/>
      <c r="H130" s="26"/>
      <c r="N130"/>
      <c r="O130"/>
      <c r="P130"/>
      <c r="Q130"/>
      <c r="R130"/>
      <c r="S130"/>
      <c r="T130"/>
      <c r="U130"/>
    </row>
    <row r="131" spans="2:21" x14ac:dyDescent="0.25">
      <c r="B131" s="93"/>
      <c r="C131" s="93" t="s">
        <v>917</v>
      </c>
      <c r="D131" s="644"/>
      <c r="E131" s="94" t="s">
        <v>586</v>
      </c>
      <c r="F131" s="27"/>
      <c r="G131" s="27"/>
      <c r="H131" s="73"/>
      <c r="N131"/>
      <c r="O131"/>
      <c r="P131"/>
      <c r="Q131"/>
      <c r="R131"/>
      <c r="S131"/>
      <c r="T131"/>
      <c r="U131"/>
    </row>
    <row r="132" spans="2:21" x14ac:dyDescent="0.25">
      <c r="B132" s="93"/>
      <c r="C132" s="93" t="s">
        <v>918</v>
      </c>
      <c r="D132" s="644"/>
      <c r="E132" s="94" t="s">
        <v>258</v>
      </c>
      <c r="F132" s="39"/>
      <c r="G132" s="27"/>
      <c r="H132" s="73"/>
      <c r="N132"/>
      <c r="O132"/>
      <c r="P132"/>
      <c r="Q132"/>
      <c r="R132"/>
      <c r="S132"/>
      <c r="T132"/>
      <c r="U132"/>
    </row>
    <row r="133" spans="2:21" x14ac:dyDescent="0.25">
      <c r="B133" s="93"/>
      <c r="C133" s="93" t="s">
        <v>989</v>
      </c>
      <c r="D133" s="661"/>
      <c r="E133" s="94"/>
      <c r="F133" s="39"/>
      <c r="G133" s="27"/>
      <c r="H133" s="73"/>
      <c r="N133"/>
      <c r="O133"/>
      <c r="P133"/>
      <c r="Q133"/>
      <c r="R133"/>
      <c r="S133"/>
      <c r="T133"/>
      <c r="U133"/>
    </row>
    <row r="134" spans="2:21" x14ac:dyDescent="0.25">
      <c r="B134" s="54"/>
      <c r="C134" s="406"/>
      <c r="D134" s="672" t="s">
        <v>939</v>
      </c>
      <c r="E134" s="406"/>
      <c r="F134" s="26"/>
      <c r="G134" s="26"/>
      <c r="H134" s="26"/>
      <c r="N134"/>
      <c r="O134"/>
      <c r="P134"/>
      <c r="Q134"/>
      <c r="R134"/>
      <c r="S134"/>
      <c r="T134"/>
      <c r="U134"/>
    </row>
    <row r="135" spans="2:21" ht="15" customHeight="1" x14ac:dyDescent="0.25">
      <c r="B135" s="93"/>
      <c r="C135" s="93" t="s">
        <v>919</v>
      </c>
      <c r="D135" s="644"/>
      <c r="E135" s="94" t="s">
        <v>586</v>
      </c>
      <c r="F135" s="746" t="s">
        <v>915</v>
      </c>
      <c r="G135" s="747"/>
      <c r="H135" s="749" t="s">
        <v>914</v>
      </c>
      <c r="N135"/>
      <c r="O135"/>
      <c r="P135"/>
      <c r="Q135"/>
      <c r="R135"/>
      <c r="S135"/>
      <c r="T135"/>
      <c r="U135"/>
    </row>
    <row r="136" spans="2:21" x14ac:dyDescent="0.25">
      <c r="B136" s="93"/>
      <c r="C136" s="93" t="s">
        <v>920</v>
      </c>
      <c r="D136" s="644"/>
      <c r="E136" s="94" t="s">
        <v>258</v>
      </c>
      <c r="F136" s="746"/>
      <c r="G136" s="748"/>
      <c r="H136" s="749"/>
      <c r="N136"/>
      <c r="O136"/>
      <c r="P136"/>
      <c r="Q136"/>
      <c r="R136"/>
      <c r="S136"/>
      <c r="T136"/>
      <c r="U136"/>
    </row>
    <row r="137" spans="2:21" x14ac:dyDescent="0.25">
      <c r="B137" s="93"/>
      <c r="C137" s="93" t="s">
        <v>989</v>
      </c>
      <c r="D137" s="661"/>
      <c r="E137" s="94"/>
      <c r="F137" s="613"/>
      <c r="G137" s="613"/>
      <c r="H137" s="684"/>
      <c r="N137"/>
      <c r="O137"/>
      <c r="P137"/>
      <c r="Q137"/>
      <c r="R137"/>
      <c r="S137"/>
      <c r="T137"/>
      <c r="U137"/>
    </row>
    <row r="138" spans="2:21" ht="6" customHeight="1" x14ac:dyDescent="0.25">
      <c r="B138" s="93"/>
      <c r="C138" s="93"/>
      <c r="D138" s="93"/>
      <c r="E138" s="93"/>
      <c r="F138" s="93"/>
      <c r="G138" s="93"/>
      <c r="H138" s="93"/>
      <c r="N138"/>
      <c r="O138"/>
      <c r="P138"/>
      <c r="Q138"/>
      <c r="R138"/>
      <c r="S138"/>
      <c r="T138"/>
      <c r="U138"/>
    </row>
    <row r="139" spans="2:21" ht="6" customHeight="1" x14ac:dyDescent="0.25">
      <c r="D139" s="85"/>
      <c r="N139"/>
      <c r="O139"/>
      <c r="P139"/>
      <c r="Q139"/>
      <c r="R139"/>
      <c r="S139"/>
      <c r="T139"/>
      <c r="U139"/>
    </row>
    <row r="140" spans="2:21" x14ac:dyDescent="0.25">
      <c r="B140" s="25"/>
      <c r="C140" s="93" t="s">
        <v>633</v>
      </c>
      <c r="D140" s="644"/>
      <c r="E140" s="94" t="s">
        <v>456</v>
      </c>
      <c r="F140" s="27"/>
      <c r="G140" s="27"/>
      <c r="H140" s="73"/>
      <c r="N140"/>
      <c r="O140"/>
      <c r="P140"/>
      <c r="Q140"/>
      <c r="R140"/>
      <c r="S140"/>
      <c r="T140"/>
      <c r="U140"/>
    </row>
    <row r="141" spans="2:21" x14ac:dyDescent="0.25">
      <c r="B141" s="25"/>
      <c r="C141" s="93" t="s">
        <v>971</v>
      </c>
      <c r="D141" s="644"/>
      <c r="E141" s="94" t="s">
        <v>456</v>
      </c>
      <c r="F141" s="27"/>
      <c r="G141" s="27"/>
      <c r="H141" s="73"/>
      <c r="N141"/>
      <c r="O141"/>
      <c r="P141"/>
      <c r="Q141"/>
      <c r="R141"/>
      <c r="S141"/>
      <c r="T141"/>
      <c r="U141"/>
    </row>
    <row r="142" spans="2:21" x14ac:dyDescent="0.25">
      <c r="B142" s="25"/>
      <c r="C142" s="93" t="s">
        <v>972</v>
      </c>
      <c r="D142" s="644"/>
      <c r="E142" s="94" t="s">
        <v>456</v>
      </c>
      <c r="F142" s="27"/>
      <c r="G142" s="27"/>
      <c r="H142" s="73"/>
      <c r="N142"/>
      <c r="O142"/>
      <c r="P142"/>
      <c r="Q142"/>
      <c r="R142"/>
      <c r="S142"/>
      <c r="T142"/>
      <c r="U142"/>
    </row>
    <row r="143" spans="2:21" x14ac:dyDescent="0.25">
      <c r="B143" s="25"/>
      <c r="C143" s="93" t="s">
        <v>973</v>
      </c>
      <c r="D143" s="644"/>
      <c r="E143" s="94" t="s">
        <v>456</v>
      </c>
      <c r="F143" s="27"/>
      <c r="G143" s="27"/>
      <c r="H143" s="73"/>
      <c r="N143"/>
      <c r="O143"/>
      <c r="P143"/>
      <c r="Q143"/>
      <c r="R143"/>
      <c r="S143"/>
      <c r="T143"/>
      <c r="U143"/>
    </row>
    <row r="144" spans="2:21" x14ac:dyDescent="0.25">
      <c r="B144" s="25"/>
      <c r="C144" s="93" t="s">
        <v>496</v>
      </c>
      <c r="D144" s="644"/>
      <c r="E144" s="94" t="s">
        <v>452</v>
      </c>
      <c r="F144" s="27"/>
      <c r="G144" s="27"/>
      <c r="H144" s="73"/>
      <c r="N144"/>
      <c r="O144"/>
      <c r="P144"/>
      <c r="Q144"/>
      <c r="R144"/>
      <c r="S144"/>
      <c r="T144"/>
      <c r="U144"/>
    </row>
    <row r="145" spans="2:21" ht="6" customHeight="1" x14ac:dyDescent="0.25">
      <c r="B145" s="25"/>
      <c r="C145" s="93"/>
      <c r="D145" s="93"/>
      <c r="E145" s="94"/>
      <c r="F145" s="27"/>
      <c r="G145" s="27"/>
      <c r="H145" s="73"/>
      <c r="N145"/>
      <c r="O145"/>
      <c r="P145"/>
      <c r="Q145"/>
      <c r="R145"/>
      <c r="S145"/>
      <c r="T145"/>
      <c r="U145"/>
    </row>
    <row r="146" spans="2:21" ht="15.75" x14ac:dyDescent="0.25">
      <c r="B146" s="731" t="s">
        <v>455</v>
      </c>
      <c r="C146" s="731"/>
      <c r="D146" s="731"/>
      <c r="E146" s="731"/>
      <c r="F146" s="731"/>
      <c r="G146" s="731"/>
      <c r="H146" s="731"/>
      <c r="N146"/>
      <c r="O146"/>
      <c r="P146"/>
      <c r="Q146"/>
      <c r="R146"/>
      <c r="S146"/>
      <c r="T146"/>
      <c r="U146"/>
    </row>
    <row r="147" spans="2:21" x14ac:dyDescent="0.25">
      <c r="B147" s="54"/>
      <c r="C147" s="93" t="s">
        <v>634</v>
      </c>
      <c r="D147" s="644"/>
      <c r="E147" s="94" t="s">
        <v>456</v>
      </c>
      <c r="F147" s="26"/>
      <c r="G147" s="26"/>
      <c r="H147" s="309"/>
      <c r="N147"/>
      <c r="O147"/>
      <c r="P147"/>
      <c r="Q147"/>
      <c r="R147"/>
      <c r="S147"/>
      <c r="T147"/>
      <c r="U147"/>
    </row>
    <row r="148" spans="2:21" ht="15.75" x14ac:dyDescent="0.25">
      <c r="B148" s="731" t="s">
        <v>454</v>
      </c>
      <c r="C148" s="731"/>
      <c r="D148" s="731"/>
      <c r="E148" s="731"/>
      <c r="F148" s="731"/>
      <c r="G148" s="731"/>
      <c r="H148" s="731"/>
      <c r="N148"/>
      <c r="O148"/>
      <c r="P148"/>
      <c r="Q148"/>
      <c r="R148"/>
      <c r="S148"/>
      <c r="T148"/>
      <c r="U148"/>
    </row>
    <row r="149" spans="2:21" x14ac:dyDescent="0.25">
      <c r="B149" s="54"/>
      <c r="C149" s="93" t="s">
        <v>376</v>
      </c>
      <c r="D149" s="644"/>
      <c r="E149" s="94" t="s">
        <v>452</v>
      </c>
      <c r="F149" s="26"/>
      <c r="G149" s="26"/>
      <c r="H149" s="309"/>
      <c r="N149"/>
      <c r="O149"/>
      <c r="P149"/>
      <c r="Q149"/>
      <c r="R149"/>
      <c r="S149"/>
      <c r="T149"/>
      <c r="U149"/>
    </row>
    <row r="150" spans="2:21" x14ac:dyDescent="0.25">
      <c r="B150" s="54"/>
      <c r="C150" s="93" t="s">
        <v>375</v>
      </c>
      <c r="D150" s="644"/>
      <c r="E150" s="94" t="s">
        <v>452</v>
      </c>
      <c r="F150" s="26"/>
      <c r="G150" s="26"/>
      <c r="H150" s="309"/>
      <c r="N150"/>
      <c r="O150"/>
      <c r="P150"/>
      <c r="Q150"/>
      <c r="R150"/>
      <c r="S150"/>
      <c r="T150"/>
      <c r="U150"/>
    </row>
    <row r="151" spans="2:21" x14ac:dyDescent="0.25">
      <c r="B151" s="54"/>
      <c r="C151" s="93" t="s">
        <v>372</v>
      </c>
      <c r="D151" s="644"/>
      <c r="E151" s="94" t="s">
        <v>452</v>
      </c>
      <c r="F151" s="26"/>
      <c r="G151" s="26"/>
      <c r="H151" s="309"/>
      <c r="N151"/>
      <c r="O151"/>
      <c r="P151"/>
      <c r="Q151"/>
      <c r="R151"/>
      <c r="S151"/>
      <c r="T151"/>
      <c r="U151"/>
    </row>
    <row r="152" spans="2:21" x14ac:dyDescent="0.25">
      <c r="B152" s="54"/>
      <c r="C152" s="93" t="s">
        <v>373</v>
      </c>
      <c r="D152" s="644"/>
      <c r="E152" s="94" t="s">
        <v>452</v>
      </c>
      <c r="F152" s="26"/>
      <c r="G152" s="26"/>
      <c r="H152" s="309"/>
      <c r="N152"/>
      <c r="O152"/>
      <c r="P152"/>
      <c r="Q152"/>
      <c r="R152"/>
      <c r="S152"/>
      <c r="T152"/>
      <c r="U152"/>
    </row>
    <row r="153" spans="2:21" x14ac:dyDescent="0.25">
      <c r="B153" s="54"/>
      <c r="C153" s="93" t="s">
        <v>374</v>
      </c>
      <c r="D153" s="644"/>
      <c r="E153" s="94" t="s">
        <v>452</v>
      </c>
      <c r="F153" s="26"/>
      <c r="G153" s="26"/>
      <c r="H153" s="309"/>
      <c r="N153"/>
      <c r="O153"/>
      <c r="P153"/>
      <c r="Q153"/>
      <c r="R153"/>
      <c r="S153"/>
      <c r="T153"/>
      <c r="U153"/>
    </row>
    <row r="154" spans="2:21" x14ac:dyDescent="0.25">
      <c r="B154" s="25"/>
      <c r="C154" s="93" t="s">
        <v>366</v>
      </c>
      <c r="D154" s="644"/>
      <c r="E154" s="94" t="s">
        <v>453</v>
      </c>
      <c r="F154" s="27"/>
      <c r="G154" s="27"/>
      <c r="H154" s="73"/>
      <c r="N154"/>
      <c r="O154"/>
      <c r="P154"/>
      <c r="Q154"/>
      <c r="R154"/>
      <c r="S154"/>
      <c r="T154"/>
      <c r="U154"/>
    </row>
    <row r="155" spans="2:21" x14ac:dyDescent="0.25">
      <c r="B155" s="25"/>
      <c r="C155" s="93" t="s">
        <v>367</v>
      </c>
      <c r="D155" s="644"/>
      <c r="E155" s="94" t="s">
        <v>453</v>
      </c>
      <c r="F155" s="27"/>
      <c r="G155" s="27"/>
      <c r="H155" s="73"/>
      <c r="N155"/>
      <c r="O155"/>
      <c r="P155"/>
      <c r="Q155"/>
      <c r="R155"/>
      <c r="S155"/>
      <c r="T155"/>
      <c r="U155"/>
    </row>
    <row r="156" spans="2:21" x14ac:dyDescent="0.25">
      <c r="B156" s="25"/>
      <c r="C156" s="93" t="s">
        <v>368</v>
      </c>
      <c r="D156" s="644"/>
      <c r="E156" s="94" t="s">
        <v>453</v>
      </c>
      <c r="F156" s="311" t="s">
        <v>379</v>
      </c>
      <c r="G156" s="670">
        <v>0.02</v>
      </c>
      <c r="H156" s="94"/>
      <c r="N156"/>
      <c r="O156"/>
      <c r="P156"/>
      <c r="Q156"/>
      <c r="R156"/>
      <c r="S156"/>
      <c r="T156"/>
      <c r="U156"/>
    </row>
    <row r="157" spans="2:21" x14ac:dyDescent="0.25">
      <c r="B157" s="25"/>
      <c r="C157" s="93" t="s">
        <v>369</v>
      </c>
      <c r="D157" s="644"/>
      <c r="E157" s="94" t="s">
        <v>453</v>
      </c>
      <c r="F157" s="27"/>
      <c r="G157" s="27"/>
      <c r="H157" s="73"/>
      <c r="N157"/>
      <c r="O157"/>
      <c r="P157"/>
      <c r="Q157"/>
      <c r="R157"/>
      <c r="S157"/>
      <c r="T157"/>
      <c r="U157"/>
    </row>
    <row r="158" spans="2:21" x14ac:dyDescent="0.25">
      <c r="B158" s="25"/>
      <c r="C158" s="93" t="s">
        <v>370</v>
      </c>
      <c r="D158" s="644"/>
      <c r="E158" s="94" t="s">
        <v>453</v>
      </c>
      <c r="F158" s="27"/>
      <c r="G158" s="27"/>
      <c r="H158" s="73"/>
      <c r="N158"/>
      <c r="O158"/>
      <c r="P158"/>
      <c r="Q158"/>
      <c r="R158"/>
      <c r="S158"/>
      <c r="T158"/>
      <c r="U158"/>
    </row>
    <row r="159" spans="2:21" x14ac:dyDescent="0.25">
      <c r="B159" s="25"/>
      <c r="C159" s="93" t="s">
        <v>371</v>
      </c>
      <c r="D159" s="644"/>
      <c r="E159" s="94" t="s">
        <v>453</v>
      </c>
      <c r="F159" s="27"/>
      <c r="G159" s="27"/>
      <c r="H159" s="73"/>
      <c r="N159"/>
      <c r="O159"/>
      <c r="P159"/>
      <c r="Q159"/>
      <c r="R159"/>
      <c r="S159"/>
      <c r="T159"/>
      <c r="U159"/>
    </row>
    <row r="160" spans="2:21" x14ac:dyDescent="0.25">
      <c r="B160" s="25"/>
      <c r="C160" s="93" t="s">
        <v>845</v>
      </c>
      <c r="D160" s="644"/>
      <c r="E160" s="94" t="s">
        <v>890</v>
      </c>
      <c r="F160" s="27"/>
      <c r="G160" s="27"/>
      <c r="H160" s="73"/>
      <c r="N160"/>
      <c r="O160"/>
      <c r="P160"/>
      <c r="Q160"/>
      <c r="R160"/>
      <c r="S160"/>
      <c r="T160"/>
      <c r="U160"/>
    </row>
    <row r="161" spans="2:21" x14ac:dyDescent="0.25">
      <c r="B161" s="54"/>
      <c r="C161" s="93" t="s">
        <v>923</v>
      </c>
      <c r="D161" s="644"/>
      <c r="E161" s="94" t="s">
        <v>854</v>
      </c>
      <c r="F161" s="141" t="s">
        <v>924</v>
      </c>
      <c r="G161" s="646"/>
      <c r="H161" s="410" t="s">
        <v>709</v>
      </c>
      <c r="N161"/>
      <c r="O161"/>
      <c r="P161"/>
      <c r="Q161"/>
      <c r="R161"/>
      <c r="S161"/>
      <c r="T161"/>
      <c r="U161"/>
    </row>
    <row r="162" spans="2:21" x14ac:dyDescent="0.25">
      <c r="B162" s="54"/>
      <c r="C162" s="93" t="s">
        <v>922</v>
      </c>
      <c r="D162" s="644"/>
      <c r="E162" s="94" t="s">
        <v>854</v>
      </c>
      <c r="F162" s="141" t="s">
        <v>924</v>
      </c>
      <c r="G162" s="646"/>
      <c r="H162" s="410" t="s">
        <v>709</v>
      </c>
      <c r="N162"/>
      <c r="O162"/>
      <c r="P162"/>
      <c r="Q162"/>
      <c r="R162"/>
      <c r="S162"/>
      <c r="T162"/>
      <c r="U162"/>
    </row>
    <row r="163" spans="2:21" x14ac:dyDescent="0.25">
      <c r="B163" s="54"/>
      <c r="C163" s="93" t="s">
        <v>852</v>
      </c>
      <c r="D163" s="644"/>
      <c r="E163" s="94" t="s">
        <v>854</v>
      </c>
      <c r="F163" s="141" t="s">
        <v>933</v>
      </c>
      <c r="G163" s="646"/>
      <c r="H163" s="410" t="s">
        <v>709</v>
      </c>
      <c r="N163"/>
      <c r="O163"/>
      <c r="P163"/>
      <c r="Q163"/>
      <c r="R163"/>
      <c r="S163"/>
      <c r="T163"/>
      <c r="U163"/>
    </row>
    <row r="164" spans="2:21" x14ac:dyDescent="0.25">
      <c r="B164" s="54"/>
      <c r="C164" s="93" t="s">
        <v>572</v>
      </c>
      <c r="D164" s="644"/>
      <c r="E164" s="94" t="s">
        <v>854</v>
      </c>
      <c r="F164" s="26"/>
      <c r="G164" s="26"/>
      <c r="H164" s="73"/>
      <c r="N164"/>
      <c r="O164"/>
      <c r="P164"/>
      <c r="Q164"/>
      <c r="R164"/>
      <c r="S164"/>
      <c r="T164"/>
      <c r="U164"/>
    </row>
    <row r="165" spans="2:21" x14ac:dyDescent="0.25">
      <c r="B165" s="54"/>
      <c r="C165" s="730" t="s">
        <v>106</v>
      </c>
      <c r="D165" s="730"/>
      <c r="E165" s="730"/>
      <c r="F165" s="26"/>
      <c r="G165" s="26"/>
      <c r="H165" s="73"/>
      <c r="N165"/>
      <c r="O165"/>
      <c r="P165"/>
      <c r="Q165"/>
      <c r="R165"/>
      <c r="S165"/>
      <c r="T165"/>
      <c r="U165"/>
    </row>
    <row r="166" spans="2:21" x14ac:dyDescent="0.25">
      <c r="B166" s="54"/>
      <c r="C166" s="91" t="s">
        <v>392</v>
      </c>
      <c r="D166" s="644"/>
      <c r="E166" s="94" t="s">
        <v>456</v>
      </c>
      <c r="F166" s="26"/>
      <c r="G166" s="26"/>
      <c r="H166" s="73"/>
      <c r="N166"/>
      <c r="O166"/>
      <c r="P166"/>
      <c r="Q166"/>
      <c r="R166"/>
      <c r="S166"/>
      <c r="T166"/>
      <c r="U166"/>
    </row>
    <row r="167" spans="2:21" x14ac:dyDescent="0.25">
      <c r="B167" s="54"/>
      <c r="C167" s="91" t="s">
        <v>134</v>
      </c>
      <c r="D167" s="670"/>
      <c r="E167" s="94"/>
      <c r="F167" s="26"/>
      <c r="G167" s="26"/>
      <c r="H167" s="73"/>
      <c r="N167"/>
      <c r="O167"/>
      <c r="P167"/>
      <c r="Q167"/>
      <c r="R167"/>
      <c r="S167"/>
      <c r="T167"/>
      <c r="U167"/>
    </row>
    <row r="168" spans="2:21" x14ac:dyDescent="0.25">
      <c r="B168" s="54"/>
      <c r="C168" s="91" t="s">
        <v>257</v>
      </c>
      <c r="D168" s="644"/>
      <c r="E168" s="94" t="s">
        <v>258</v>
      </c>
      <c r="F168" s="26"/>
      <c r="G168" s="26"/>
      <c r="H168" s="73"/>
      <c r="N168"/>
      <c r="O168"/>
      <c r="P168"/>
      <c r="Q168"/>
      <c r="R168"/>
      <c r="S168"/>
      <c r="T168"/>
      <c r="U168"/>
    </row>
    <row r="169" spans="2:21" x14ac:dyDescent="0.25">
      <c r="B169" s="54"/>
      <c r="C169" s="730" t="s">
        <v>346</v>
      </c>
      <c r="D169" s="730"/>
      <c r="E169" s="730"/>
      <c r="F169" s="26"/>
      <c r="G169" s="26"/>
      <c r="H169" s="73"/>
      <c r="N169"/>
      <c r="O169"/>
      <c r="P169"/>
      <c r="Q169"/>
      <c r="R169"/>
      <c r="S169"/>
      <c r="T169"/>
      <c r="U169"/>
    </row>
    <row r="170" spans="2:21" x14ac:dyDescent="0.25">
      <c r="B170" s="54"/>
      <c r="C170" s="91" t="s">
        <v>392</v>
      </c>
      <c r="D170" s="644"/>
      <c r="E170" s="94" t="s">
        <v>456</v>
      </c>
      <c r="F170" s="26"/>
      <c r="G170" s="26"/>
      <c r="H170" s="73"/>
      <c r="N170"/>
      <c r="O170"/>
      <c r="P170"/>
      <c r="Q170"/>
      <c r="R170"/>
      <c r="S170"/>
      <c r="T170"/>
      <c r="U170"/>
    </row>
    <row r="171" spans="2:21" x14ac:dyDescent="0.25">
      <c r="B171" s="54"/>
      <c r="C171" s="91" t="s">
        <v>134</v>
      </c>
      <c r="D171" s="670"/>
      <c r="E171" s="94"/>
      <c r="F171" s="26"/>
      <c r="G171" s="26"/>
      <c r="H171" s="73"/>
      <c r="N171"/>
      <c r="O171"/>
      <c r="P171"/>
      <c r="Q171"/>
      <c r="R171"/>
      <c r="S171"/>
      <c r="T171"/>
      <c r="U171"/>
    </row>
    <row r="172" spans="2:21" x14ac:dyDescent="0.25">
      <c r="B172" s="54"/>
      <c r="C172" s="91" t="s">
        <v>257</v>
      </c>
      <c r="D172" s="644"/>
      <c r="E172" s="94" t="s">
        <v>258</v>
      </c>
      <c r="F172" s="26"/>
      <c r="G172" s="26"/>
      <c r="H172" s="73"/>
      <c r="N172"/>
      <c r="O172"/>
      <c r="P172"/>
      <c r="Q172"/>
      <c r="R172"/>
      <c r="S172"/>
      <c r="T172"/>
      <c r="U172"/>
    </row>
    <row r="173" spans="2:21" x14ac:dyDescent="0.25">
      <c r="B173" s="54"/>
      <c r="C173" s="730" t="s">
        <v>466</v>
      </c>
      <c r="D173" s="730"/>
      <c r="E173" s="730"/>
      <c r="F173" s="26"/>
      <c r="G173" s="26"/>
      <c r="H173" s="73"/>
      <c r="N173"/>
      <c r="O173"/>
      <c r="P173"/>
      <c r="Q173"/>
      <c r="R173"/>
      <c r="S173"/>
      <c r="T173"/>
      <c r="U173"/>
    </row>
    <row r="174" spans="2:21" x14ac:dyDescent="0.25">
      <c r="B174" s="54"/>
      <c r="C174" s="91" t="s">
        <v>392</v>
      </c>
      <c r="D174" s="644"/>
      <c r="E174" s="94" t="s">
        <v>456</v>
      </c>
      <c r="F174" s="26"/>
      <c r="G174" s="26"/>
      <c r="H174" s="73"/>
      <c r="N174"/>
      <c r="O174"/>
      <c r="P174"/>
      <c r="Q174"/>
      <c r="R174"/>
      <c r="S174"/>
      <c r="T174"/>
      <c r="U174"/>
    </row>
    <row r="175" spans="2:21" x14ac:dyDescent="0.25">
      <c r="B175" s="54"/>
      <c r="C175" s="91" t="s">
        <v>134</v>
      </c>
      <c r="D175" s="670"/>
      <c r="E175" s="94"/>
      <c r="F175" s="26"/>
      <c r="G175" s="26"/>
      <c r="H175" s="26"/>
      <c r="N175"/>
      <c r="O175"/>
      <c r="P175"/>
      <c r="Q175"/>
      <c r="R175"/>
      <c r="S175"/>
      <c r="T175"/>
      <c r="U175"/>
    </row>
    <row r="176" spans="2:21" x14ac:dyDescent="0.25">
      <c r="B176" s="54"/>
      <c r="C176" s="91" t="s">
        <v>257</v>
      </c>
      <c r="D176" s="644"/>
      <c r="E176" s="94" t="s">
        <v>258</v>
      </c>
      <c r="F176" s="26"/>
      <c r="G176" s="26"/>
      <c r="H176" s="26"/>
    </row>
    <row r="177" spans="2:8" x14ac:dyDescent="0.25">
      <c r="B177" s="54"/>
      <c r="C177" s="730" t="s">
        <v>259</v>
      </c>
      <c r="D177" s="730"/>
      <c r="E177" s="730"/>
      <c r="F177" s="26"/>
      <c r="G177" s="26"/>
      <c r="H177" s="26"/>
    </row>
    <row r="178" spans="2:8" x14ac:dyDescent="0.25">
      <c r="B178" s="54"/>
      <c r="C178" s="91" t="s">
        <v>392</v>
      </c>
      <c r="D178" s="644"/>
      <c r="E178" s="94" t="s">
        <v>456</v>
      </c>
      <c r="F178" s="26"/>
      <c r="G178" s="26"/>
      <c r="H178" s="26"/>
    </row>
    <row r="179" spans="2:8" x14ac:dyDescent="0.25">
      <c r="B179" s="54"/>
      <c r="C179" s="91" t="s">
        <v>134</v>
      </c>
      <c r="D179" s="670"/>
      <c r="E179" s="94"/>
      <c r="F179" s="26"/>
      <c r="G179" s="26"/>
      <c r="H179" s="26"/>
    </row>
    <row r="180" spans="2:8" x14ac:dyDescent="0.25">
      <c r="B180" s="54"/>
      <c r="C180" s="91" t="s">
        <v>257</v>
      </c>
      <c r="D180" s="644"/>
      <c r="E180" s="94" t="s">
        <v>258</v>
      </c>
      <c r="F180" s="26"/>
      <c r="G180" s="26"/>
      <c r="H180" s="26"/>
    </row>
    <row r="181" spans="2:8" x14ac:dyDescent="0.25">
      <c r="B181" s="54"/>
      <c r="C181" s="730" t="s">
        <v>573</v>
      </c>
      <c r="D181" s="730"/>
      <c r="E181" s="730"/>
      <c r="F181" s="26"/>
      <c r="G181" s="26"/>
      <c r="H181" s="26"/>
    </row>
    <row r="182" spans="2:8" x14ac:dyDescent="0.25">
      <c r="B182" s="54"/>
      <c r="C182" s="91" t="s">
        <v>392</v>
      </c>
      <c r="D182" s="644"/>
      <c r="E182" s="94" t="s">
        <v>456</v>
      </c>
      <c r="F182" s="26"/>
      <c r="G182" s="26"/>
      <c r="H182" s="26"/>
    </row>
    <row r="183" spans="2:8" x14ac:dyDescent="0.25">
      <c r="B183" s="54"/>
      <c r="C183" s="91" t="s">
        <v>134</v>
      </c>
      <c r="D183" s="670"/>
      <c r="E183" s="94"/>
      <c r="F183" s="26"/>
      <c r="G183" s="26"/>
      <c r="H183" s="26"/>
    </row>
    <row r="184" spans="2:8" x14ac:dyDescent="0.25">
      <c r="B184" s="54"/>
      <c r="C184" s="91" t="s">
        <v>257</v>
      </c>
      <c r="D184" s="644"/>
      <c r="E184" s="94" t="s">
        <v>258</v>
      </c>
      <c r="F184" s="26"/>
      <c r="G184" s="26"/>
      <c r="H184" s="26"/>
    </row>
    <row r="185" spans="2:8" ht="6" customHeight="1" x14ac:dyDescent="0.25">
      <c r="B185" s="54"/>
      <c r="C185" s="54"/>
      <c r="D185" s="54"/>
      <c r="E185" s="54"/>
      <c r="F185" s="54"/>
      <c r="G185" s="54"/>
      <c r="H185" s="54"/>
    </row>
    <row r="186" spans="2:8" x14ac:dyDescent="0.25">
      <c r="D186" s="85"/>
    </row>
    <row r="187" spans="2:8" ht="18.75" x14ac:dyDescent="0.25">
      <c r="B187" s="732" t="s">
        <v>961</v>
      </c>
      <c r="C187" s="732"/>
      <c r="D187" s="732"/>
      <c r="E187" s="732"/>
      <c r="F187" s="732"/>
      <c r="G187" s="732"/>
      <c r="H187" s="732"/>
    </row>
    <row r="188" spans="2:8" ht="6" customHeight="1" x14ac:dyDescent="0.25">
      <c r="D188" s="85"/>
    </row>
    <row r="189" spans="2:8" x14ac:dyDescent="0.25">
      <c r="B189" s="54"/>
      <c r="C189" s="730" t="s">
        <v>960</v>
      </c>
      <c r="D189" s="730"/>
      <c r="E189" s="730"/>
      <c r="F189" s="26"/>
      <c r="G189" s="43"/>
      <c r="H189" s="73"/>
    </row>
    <row r="190" spans="2:8" x14ac:dyDescent="0.25">
      <c r="B190" s="26"/>
      <c r="C190" s="91" t="s">
        <v>278</v>
      </c>
      <c r="D190" s="670">
        <v>1</v>
      </c>
      <c r="E190" s="25"/>
      <c r="F190" s="229"/>
      <c r="G190" s="229"/>
      <c r="H190" s="291"/>
    </row>
    <row r="191" spans="2:8" x14ac:dyDescent="0.25">
      <c r="B191" s="26"/>
      <c r="C191" s="91" t="s">
        <v>714</v>
      </c>
      <c r="D191" s="670">
        <v>0</v>
      </c>
      <c r="E191" s="659" t="str">
        <f>IF((SUM(D190:D192)=1),"","A soma das porcentagens de distribuição deve ser igual a 100%!")</f>
        <v/>
      </c>
      <c r="F191" s="229"/>
      <c r="G191" s="229"/>
      <c r="H191" s="291"/>
    </row>
    <row r="192" spans="2:8" x14ac:dyDescent="0.25">
      <c r="B192" s="26"/>
      <c r="C192" s="91" t="s">
        <v>894</v>
      </c>
      <c r="D192" s="670">
        <v>0</v>
      </c>
      <c r="E192" s="25"/>
      <c r="F192" s="229"/>
      <c r="G192" s="229"/>
      <c r="H192" s="291"/>
    </row>
    <row r="193" spans="2:8" ht="6" customHeight="1" x14ac:dyDescent="0.25">
      <c r="B193" s="229"/>
      <c r="C193" s="229"/>
      <c r="D193" s="25"/>
      <c r="E193" s="25"/>
      <c r="F193" s="229"/>
      <c r="G193" s="229"/>
      <c r="H193" s="291"/>
    </row>
    <row r="194" spans="2:8" ht="6" customHeight="1" x14ac:dyDescent="0.25">
      <c r="D194" s="85"/>
    </row>
    <row r="195" spans="2:8" x14ac:dyDescent="0.25">
      <c r="B195" s="54"/>
      <c r="C195" s="730" t="s">
        <v>958</v>
      </c>
      <c r="D195" s="730"/>
      <c r="E195" s="730"/>
      <c r="F195" s="26"/>
      <c r="G195" s="43"/>
      <c r="H195" s="73"/>
    </row>
    <row r="196" spans="2:8" x14ac:dyDescent="0.25">
      <c r="B196" s="26"/>
      <c r="C196" s="91" t="s">
        <v>278</v>
      </c>
      <c r="D196" s="670">
        <v>1</v>
      </c>
      <c r="E196" s="25"/>
      <c r="F196" s="229"/>
      <c r="G196" s="229"/>
      <c r="H196" s="291"/>
    </row>
    <row r="197" spans="2:8" x14ac:dyDescent="0.25">
      <c r="B197" s="26"/>
      <c r="C197" s="91" t="s">
        <v>714</v>
      </c>
      <c r="D197" s="670">
        <v>0</v>
      </c>
      <c r="E197" s="659" t="str">
        <f>IF((SUM(D196:D198)=1),"","A soma das porcentagens de distribuição deve ser igual a 100%!")</f>
        <v/>
      </c>
      <c r="F197" s="229"/>
      <c r="G197" s="229"/>
      <c r="H197" s="291"/>
    </row>
    <row r="198" spans="2:8" x14ac:dyDescent="0.25">
      <c r="B198" s="26"/>
      <c r="C198" s="91" t="s">
        <v>894</v>
      </c>
      <c r="D198" s="670">
        <v>0</v>
      </c>
      <c r="E198" s="25"/>
      <c r="F198" s="229"/>
      <c r="G198" s="229"/>
      <c r="H198" s="291"/>
    </row>
    <row r="199" spans="2:8" ht="6" customHeight="1" x14ac:dyDescent="0.25">
      <c r="B199" s="229"/>
      <c r="C199" s="229"/>
      <c r="D199" s="25"/>
      <c r="E199" s="25"/>
      <c r="F199" s="229"/>
      <c r="G199" s="229"/>
      <c r="H199" s="291"/>
    </row>
    <row r="200" spans="2:8" ht="6" customHeight="1" x14ac:dyDescent="0.25">
      <c r="D200" s="85"/>
    </row>
    <row r="201" spans="2:8" x14ac:dyDescent="0.25">
      <c r="B201" s="54"/>
      <c r="C201" s="730" t="s">
        <v>959</v>
      </c>
      <c r="D201" s="730"/>
      <c r="E201" s="730"/>
      <c r="F201" s="26"/>
      <c r="G201" s="43"/>
      <c r="H201" s="73"/>
    </row>
    <row r="202" spans="2:8" x14ac:dyDescent="0.25">
      <c r="B202" s="26"/>
      <c r="C202" s="91" t="s">
        <v>278</v>
      </c>
      <c r="D202" s="670">
        <v>1</v>
      </c>
      <c r="E202" s="25"/>
      <c r="F202" s="229"/>
      <c r="G202" s="229"/>
      <c r="H202" s="291"/>
    </row>
    <row r="203" spans="2:8" x14ac:dyDescent="0.25">
      <c r="B203" s="26"/>
      <c r="C203" s="91" t="s">
        <v>714</v>
      </c>
      <c r="D203" s="670">
        <v>0</v>
      </c>
      <c r="E203" s="659" t="str">
        <f>IF((SUM(D202:D204)=1),"","A soma das porcentagens de distribuição deve ser igual a 100%!")</f>
        <v/>
      </c>
      <c r="F203" s="229"/>
      <c r="G203" s="229"/>
      <c r="H203" s="291"/>
    </row>
    <row r="204" spans="2:8" x14ac:dyDescent="0.25">
      <c r="B204" s="26"/>
      <c r="C204" s="91" t="s">
        <v>894</v>
      </c>
      <c r="D204" s="670">
        <v>0</v>
      </c>
      <c r="E204" s="25"/>
      <c r="F204" s="229"/>
      <c r="G204" s="229"/>
      <c r="H204" s="291"/>
    </row>
    <row r="205" spans="2:8" ht="6" customHeight="1" x14ac:dyDescent="0.25">
      <c r="B205" s="229"/>
      <c r="C205" s="229"/>
      <c r="D205" s="25"/>
      <c r="E205" s="25"/>
      <c r="F205" s="229"/>
      <c r="G205" s="229"/>
      <c r="H205" s="291"/>
    </row>
    <row r="206" spans="2:8" ht="6" customHeight="1" x14ac:dyDescent="0.25">
      <c r="D206" s="85"/>
    </row>
    <row r="207" spans="2:8" x14ac:dyDescent="0.25">
      <c r="D207" s="85"/>
    </row>
    <row r="208" spans="2:8" x14ac:dyDescent="0.25">
      <c r="D208" s="85"/>
    </row>
    <row r="209" spans="4:4" x14ac:dyDescent="0.25">
      <c r="D209" s="85"/>
    </row>
    <row r="210" spans="4:4" x14ac:dyDescent="0.25">
      <c r="D210" s="85"/>
    </row>
    <row r="211" spans="4:4" x14ac:dyDescent="0.25">
      <c r="D211" s="85"/>
    </row>
    <row r="212" spans="4:4" x14ac:dyDescent="0.25">
      <c r="D212" s="85"/>
    </row>
    <row r="213" spans="4:4" x14ac:dyDescent="0.25">
      <c r="D213" s="85"/>
    </row>
    <row r="214" spans="4:4" x14ac:dyDescent="0.25">
      <c r="D214" s="85"/>
    </row>
    <row r="215" spans="4:4" x14ac:dyDescent="0.25">
      <c r="D215" s="85"/>
    </row>
    <row r="216" spans="4:4" x14ac:dyDescent="0.25">
      <c r="D216" s="85"/>
    </row>
    <row r="217" spans="4:4" x14ac:dyDescent="0.25">
      <c r="D217" s="85"/>
    </row>
    <row r="218" spans="4:4" x14ac:dyDescent="0.25">
      <c r="D218" s="85"/>
    </row>
    <row r="219" spans="4:4" x14ac:dyDescent="0.25">
      <c r="D219" s="85"/>
    </row>
    <row r="220" spans="4:4" x14ac:dyDescent="0.25">
      <c r="D220" s="85"/>
    </row>
    <row r="221" spans="4:4" x14ac:dyDescent="0.25">
      <c r="D221" s="85"/>
    </row>
    <row r="222" spans="4:4" x14ac:dyDescent="0.25">
      <c r="D222" s="85"/>
    </row>
    <row r="223" spans="4:4" x14ac:dyDescent="0.25">
      <c r="D223" s="85"/>
    </row>
    <row r="224" spans="4:4" x14ac:dyDescent="0.25">
      <c r="D224" s="85"/>
    </row>
    <row r="225" spans="4:4" x14ac:dyDescent="0.25">
      <c r="D225" s="85"/>
    </row>
    <row r="226" spans="4:4" x14ac:dyDescent="0.25">
      <c r="D226" s="85"/>
    </row>
    <row r="227" spans="4:4" x14ac:dyDescent="0.25">
      <c r="D227" s="85"/>
    </row>
    <row r="228" spans="4:4" x14ac:dyDescent="0.25">
      <c r="D228" s="85"/>
    </row>
    <row r="229" spans="4:4" x14ac:dyDescent="0.25">
      <c r="D229" s="85"/>
    </row>
    <row r="230" spans="4:4" x14ac:dyDescent="0.25">
      <c r="D230" s="85"/>
    </row>
    <row r="231" spans="4:4" x14ac:dyDescent="0.25">
      <c r="D231" s="85"/>
    </row>
    <row r="232" spans="4:4" x14ac:dyDescent="0.25">
      <c r="D232" s="85"/>
    </row>
    <row r="233" spans="4:4" x14ac:dyDescent="0.25">
      <c r="D233" s="85"/>
    </row>
    <row r="234" spans="4:4" x14ac:dyDescent="0.25">
      <c r="D234" s="85"/>
    </row>
    <row r="235" spans="4:4" x14ac:dyDescent="0.25">
      <c r="D235" s="85"/>
    </row>
    <row r="236" spans="4:4" x14ac:dyDescent="0.25">
      <c r="D236" s="85"/>
    </row>
    <row r="237" spans="4:4" x14ac:dyDescent="0.25">
      <c r="D237" s="85"/>
    </row>
    <row r="238" spans="4:4" x14ac:dyDescent="0.25">
      <c r="D238" s="85"/>
    </row>
    <row r="239" spans="4:4" x14ac:dyDescent="0.25">
      <c r="D239" s="85"/>
    </row>
    <row r="240" spans="4:4" x14ac:dyDescent="0.25">
      <c r="D240" s="85"/>
    </row>
    <row r="241" spans="4:4" x14ac:dyDescent="0.25">
      <c r="D241" s="85"/>
    </row>
    <row r="242" spans="4:4" x14ac:dyDescent="0.25">
      <c r="D242" s="85"/>
    </row>
    <row r="243" spans="4:4" x14ac:dyDescent="0.25">
      <c r="D243" s="85"/>
    </row>
    <row r="244" spans="4:4" x14ac:dyDescent="0.25">
      <c r="D244" s="85"/>
    </row>
    <row r="245" spans="4:4" x14ac:dyDescent="0.25">
      <c r="D245" s="85"/>
    </row>
    <row r="246" spans="4:4" x14ac:dyDescent="0.25">
      <c r="D246" s="85"/>
    </row>
    <row r="247" spans="4:4" x14ac:dyDescent="0.25">
      <c r="D247" s="85"/>
    </row>
    <row r="248" spans="4:4" x14ac:dyDescent="0.25">
      <c r="D248" s="85"/>
    </row>
    <row r="249" spans="4:4" x14ac:dyDescent="0.25">
      <c r="D249" s="85"/>
    </row>
    <row r="250" spans="4:4" x14ac:dyDescent="0.25">
      <c r="D250" s="85"/>
    </row>
    <row r="251" spans="4:4" x14ac:dyDescent="0.25">
      <c r="D251" s="85"/>
    </row>
    <row r="252" spans="4:4" x14ac:dyDescent="0.25">
      <c r="D252" s="85"/>
    </row>
    <row r="253" spans="4:4" x14ac:dyDescent="0.25">
      <c r="D253" s="85"/>
    </row>
    <row r="254" spans="4:4" x14ac:dyDescent="0.25">
      <c r="D254" s="85"/>
    </row>
    <row r="255" spans="4:4" x14ac:dyDescent="0.25">
      <c r="D255" s="85"/>
    </row>
    <row r="256" spans="4:4" x14ac:dyDescent="0.25">
      <c r="D256" s="85"/>
    </row>
    <row r="257" spans="4:4" x14ac:dyDescent="0.25">
      <c r="D257" s="85"/>
    </row>
    <row r="258" spans="4:4" x14ac:dyDescent="0.25">
      <c r="D258" s="85"/>
    </row>
    <row r="259" spans="4:4" x14ac:dyDescent="0.25">
      <c r="D259" s="85"/>
    </row>
    <row r="260" spans="4:4" x14ac:dyDescent="0.25">
      <c r="D260" s="85"/>
    </row>
    <row r="261" spans="4:4" x14ac:dyDescent="0.25">
      <c r="D261" s="85"/>
    </row>
    <row r="262" spans="4:4" x14ac:dyDescent="0.25">
      <c r="D262" s="85"/>
    </row>
    <row r="263" spans="4:4" x14ac:dyDescent="0.25">
      <c r="D263" s="85"/>
    </row>
    <row r="264" spans="4:4" x14ac:dyDescent="0.25">
      <c r="D264" s="85"/>
    </row>
    <row r="265" spans="4:4" x14ac:dyDescent="0.25">
      <c r="D265" s="85"/>
    </row>
    <row r="266" spans="4:4" x14ac:dyDescent="0.25">
      <c r="D266" s="85"/>
    </row>
    <row r="267" spans="4:4" x14ac:dyDescent="0.25">
      <c r="D267" s="85"/>
    </row>
    <row r="268" spans="4:4" x14ac:dyDescent="0.25">
      <c r="D268" s="85"/>
    </row>
    <row r="269" spans="4:4" x14ac:dyDescent="0.25">
      <c r="D269" s="85"/>
    </row>
    <row r="270" spans="4:4" x14ac:dyDescent="0.25">
      <c r="D270" s="85"/>
    </row>
    <row r="271" spans="4:4" x14ac:dyDescent="0.25">
      <c r="D271" s="85"/>
    </row>
    <row r="272" spans="4:4" x14ac:dyDescent="0.25">
      <c r="D272" s="85"/>
    </row>
    <row r="273" spans="4:4" x14ac:dyDescent="0.25">
      <c r="D273" s="85"/>
    </row>
    <row r="274" spans="4:4" x14ac:dyDescent="0.25">
      <c r="D274" s="85"/>
    </row>
    <row r="275" spans="4:4" x14ac:dyDescent="0.25">
      <c r="D275" s="85"/>
    </row>
    <row r="276" spans="4:4" x14ac:dyDescent="0.25">
      <c r="D276" s="85"/>
    </row>
    <row r="277" spans="4:4" x14ac:dyDescent="0.25">
      <c r="D277" s="85"/>
    </row>
    <row r="278" spans="4:4" x14ac:dyDescent="0.25">
      <c r="D278" s="85"/>
    </row>
    <row r="279" spans="4:4" x14ac:dyDescent="0.25">
      <c r="D279" s="85"/>
    </row>
    <row r="280" spans="4:4" x14ac:dyDescent="0.25">
      <c r="D280" s="85"/>
    </row>
    <row r="281" spans="4:4" x14ac:dyDescent="0.25">
      <c r="D281" s="85"/>
    </row>
    <row r="282" spans="4:4" x14ac:dyDescent="0.25">
      <c r="D282" s="85"/>
    </row>
    <row r="283" spans="4:4" x14ac:dyDescent="0.25">
      <c r="D283" s="85"/>
    </row>
    <row r="284" spans="4:4" x14ac:dyDescent="0.25">
      <c r="D284" s="85"/>
    </row>
    <row r="285" spans="4:4" x14ac:dyDescent="0.25">
      <c r="D285" s="85"/>
    </row>
    <row r="286" spans="4:4" x14ac:dyDescent="0.25">
      <c r="D286" s="85"/>
    </row>
    <row r="287" spans="4:4" x14ac:dyDescent="0.25">
      <c r="D287" s="85"/>
    </row>
    <row r="288" spans="4:4" x14ac:dyDescent="0.25">
      <c r="D288" s="85"/>
    </row>
    <row r="289" spans="4:4" x14ac:dyDescent="0.25">
      <c r="D289" s="85"/>
    </row>
    <row r="290" spans="4:4" x14ac:dyDescent="0.25">
      <c r="D290" s="85"/>
    </row>
    <row r="291" spans="4:4" x14ac:dyDescent="0.25">
      <c r="D291" s="85"/>
    </row>
    <row r="292" spans="4:4" x14ac:dyDescent="0.25">
      <c r="D292" s="85"/>
    </row>
    <row r="293" spans="4:4" x14ac:dyDescent="0.25">
      <c r="D293" s="85"/>
    </row>
    <row r="294" spans="4:4" x14ac:dyDescent="0.25">
      <c r="D294" s="85"/>
    </row>
    <row r="295" spans="4:4" x14ac:dyDescent="0.25">
      <c r="D295" s="85"/>
    </row>
    <row r="296" spans="4:4" x14ac:dyDescent="0.25">
      <c r="D296" s="85"/>
    </row>
    <row r="297" spans="4:4" x14ac:dyDescent="0.25">
      <c r="D297" s="85"/>
    </row>
    <row r="298" spans="4:4" x14ac:dyDescent="0.25">
      <c r="D298" s="85"/>
    </row>
    <row r="299" spans="4:4" x14ac:dyDescent="0.25">
      <c r="D299" s="85"/>
    </row>
    <row r="300" spans="4:4" x14ac:dyDescent="0.25">
      <c r="D300" s="85"/>
    </row>
    <row r="301" spans="4:4" x14ac:dyDescent="0.25">
      <c r="D301" s="85"/>
    </row>
    <row r="302" spans="4:4" x14ac:dyDescent="0.25">
      <c r="D302" s="85"/>
    </row>
    <row r="303" spans="4:4" x14ac:dyDescent="0.25">
      <c r="D303" s="85"/>
    </row>
    <row r="304" spans="4:4" x14ac:dyDescent="0.25">
      <c r="D304" s="85"/>
    </row>
    <row r="305" spans="4:4" x14ac:dyDescent="0.25">
      <c r="D305" s="85"/>
    </row>
    <row r="306" spans="4:4" x14ac:dyDescent="0.25">
      <c r="D306" s="85"/>
    </row>
    <row r="307" spans="4:4" x14ac:dyDescent="0.25">
      <c r="D307" s="85"/>
    </row>
    <row r="308" spans="4:4" x14ac:dyDescent="0.25">
      <c r="D308" s="85"/>
    </row>
    <row r="309" spans="4:4" x14ac:dyDescent="0.25">
      <c r="D309" s="85"/>
    </row>
    <row r="310" spans="4:4" x14ac:dyDescent="0.25">
      <c r="D310" s="85"/>
    </row>
    <row r="311" spans="4:4" x14ac:dyDescent="0.25">
      <c r="D311" s="85"/>
    </row>
    <row r="312" spans="4:4" x14ac:dyDescent="0.25">
      <c r="D312" s="85"/>
    </row>
    <row r="313" spans="4:4" x14ac:dyDescent="0.25">
      <c r="D313" s="85"/>
    </row>
    <row r="314" spans="4:4" x14ac:dyDescent="0.25">
      <c r="D314" s="85"/>
    </row>
    <row r="315" spans="4:4" x14ac:dyDescent="0.25">
      <c r="D315" s="85"/>
    </row>
    <row r="316" spans="4:4" x14ac:dyDescent="0.25">
      <c r="D316" s="85"/>
    </row>
    <row r="317" spans="4:4" x14ac:dyDescent="0.25">
      <c r="D317" s="85"/>
    </row>
    <row r="318" spans="4:4" x14ac:dyDescent="0.25">
      <c r="D318" s="85"/>
    </row>
    <row r="319" spans="4:4" x14ac:dyDescent="0.25">
      <c r="D319" s="85"/>
    </row>
    <row r="320" spans="4:4" x14ac:dyDescent="0.25">
      <c r="D320" s="85"/>
    </row>
    <row r="321" spans="4:4" x14ac:dyDescent="0.25">
      <c r="D321" s="85"/>
    </row>
    <row r="322" spans="4:4" x14ac:dyDescent="0.25">
      <c r="D322" s="85"/>
    </row>
    <row r="323" spans="4:4" x14ac:dyDescent="0.25">
      <c r="D323" s="85"/>
    </row>
    <row r="324" spans="4:4" x14ac:dyDescent="0.25">
      <c r="D324" s="85"/>
    </row>
    <row r="325" spans="4:4" x14ac:dyDescent="0.25">
      <c r="D325" s="85"/>
    </row>
    <row r="326" spans="4:4" x14ac:dyDescent="0.25">
      <c r="D326" s="85"/>
    </row>
    <row r="327" spans="4:4" x14ac:dyDescent="0.25">
      <c r="D327" s="85"/>
    </row>
    <row r="328" spans="4:4" x14ac:dyDescent="0.25">
      <c r="D328" s="85"/>
    </row>
    <row r="329" spans="4:4" x14ac:dyDescent="0.25">
      <c r="D329" s="85"/>
    </row>
    <row r="330" spans="4:4" x14ac:dyDescent="0.25">
      <c r="D330" s="85"/>
    </row>
    <row r="331" spans="4:4" x14ac:dyDescent="0.25">
      <c r="D331" s="85"/>
    </row>
    <row r="332" spans="4:4" x14ac:dyDescent="0.25">
      <c r="D332" s="85"/>
    </row>
    <row r="333" spans="4:4" x14ac:dyDescent="0.25">
      <c r="D333" s="85"/>
    </row>
    <row r="334" spans="4:4" x14ac:dyDescent="0.25">
      <c r="D334" s="85"/>
    </row>
    <row r="335" spans="4:4" x14ac:dyDescent="0.25">
      <c r="D335" s="85"/>
    </row>
    <row r="336" spans="4:4" x14ac:dyDescent="0.25">
      <c r="D336" s="85"/>
    </row>
    <row r="337" spans="4:4" x14ac:dyDescent="0.25">
      <c r="D337" s="85"/>
    </row>
    <row r="338" spans="4:4" x14ac:dyDescent="0.25">
      <c r="D338" s="85"/>
    </row>
    <row r="339" spans="4:4" x14ac:dyDescent="0.25">
      <c r="D339" s="85"/>
    </row>
    <row r="340" spans="4:4" x14ac:dyDescent="0.25">
      <c r="D340" s="85"/>
    </row>
    <row r="341" spans="4:4" x14ac:dyDescent="0.25">
      <c r="D341" s="85"/>
    </row>
    <row r="342" spans="4:4" x14ac:dyDescent="0.25">
      <c r="D342" s="85"/>
    </row>
    <row r="343" spans="4:4" x14ac:dyDescent="0.25">
      <c r="D343" s="85"/>
    </row>
    <row r="344" spans="4:4" x14ac:dyDescent="0.25">
      <c r="D344" s="85"/>
    </row>
    <row r="345" spans="4:4" x14ac:dyDescent="0.25">
      <c r="D345" s="85"/>
    </row>
    <row r="346" spans="4:4" x14ac:dyDescent="0.25">
      <c r="D346" s="85"/>
    </row>
    <row r="347" spans="4:4" x14ac:dyDescent="0.25">
      <c r="D347" s="85"/>
    </row>
    <row r="348" spans="4:4" x14ac:dyDescent="0.25">
      <c r="D348" s="85"/>
    </row>
    <row r="349" spans="4:4" x14ac:dyDescent="0.25">
      <c r="D349" s="85"/>
    </row>
    <row r="350" spans="4:4" x14ac:dyDescent="0.25">
      <c r="D350" s="85"/>
    </row>
    <row r="351" spans="4:4" x14ac:dyDescent="0.25">
      <c r="D351" s="85"/>
    </row>
    <row r="352" spans="4:4" x14ac:dyDescent="0.25">
      <c r="D352" s="85"/>
    </row>
    <row r="353" spans="4:4" x14ac:dyDescent="0.25">
      <c r="D353" s="85"/>
    </row>
    <row r="354" spans="4:4" x14ac:dyDescent="0.25">
      <c r="D354" s="85"/>
    </row>
    <row r="355" spans="4:4" x14ac:dyDescent="0.25">
      <c r="D355" s="85"/>
    </row>
    <row r="356" spans="4:4" x14ac:dyDescent="0.25">
      <c r="D356" s="85"/>
    </row>
    <row r="357" spans="4:4" x14ac:dyDescent="0.25">
      <c r="D357" s="85"/>
    </row>
    <row r="358" spans="4:4" x14ac:dyDescent="0.25">
      <c r="D358" s="85"/>
    </row>
    <row r="359" spans="4:4" x14ac:dyDescent="0.25">
      <c r="D359" s="85"/>
    </row>
    <row r="360" spans="4:4" x14ac:dyDescent="0.25">
      <c r="D360" s="85"/>
    </row>
    <row r="361" spans="4:4" x14ac:dyDescent="0.25">
      <c r="D361" s="85"/>
    </row>
    <row r="362" spans="4:4" x14ac:dyDescent="0.25">
      <c r="D362" s="85"/>
    </row>
    <row r="363" spans="4:4" x14ac:dyDescent="0.25">
      <c r="D363" s="85"/>
    </row>
    <row r="364" spans="4:4" x14ac:dyDescent="0.25">
      <c r="D364" s="85"/>
    </row>
    <row r="365" spans="4:4" x14ac:dyDescent="0.25">
      <c r="D365" s="85"/>
    </row>
    <row r="366" spans="4:4" x14ac:dyDescent="0.25">
      <c r="D366" s="85"/>
    </row>
    <row r="367" spans="4:4" x14ac:dyDescent="0.25">
      <c r="D367" s="85"/>
    </row>
    <row r="368" spans="4:4" x14ac:dyDescent="0.25">
      <c r="D368" s="85"/>
    </row>
    <row r="369" spans="4:4" x14ac:dyDescent="0.25">
      <c r="D369" s="85"/>
    </row>
    <row r="370" spans="4:4" x14ac:dyDescent="0.25">
      <c r="D370" s="85"/>
    </row>
    <row r="371" spans="4:4" x14ac:dyDescent="0.25">
      <c r="D371" s="85"/>
    </row>
    <row r="372" spans="4:4" x14ac:dyDescent="0.25">
      <c r="D372" s="85"/>
    </row>
    <row r="373" spans="4:4" x14ac:dyDescent="0.25">
      <c r="D373" s="85"/>
    </row>
    <row r="374" spans="4:4" x14ac:dyDescent="0.25">
      <c r="D374" s="85"/>
    </row>
    <row r="375" spans="4:4" x14ac:dyDescent="0.25">
      <c r="D375" s="85"/>
    </row>
    <row r="376" spans="4:4" x14ac:dyDescent="0.25">
      <c r="D376" s="85"/>
    </row>
    <row r="377" spans="4:4" x14ac:dyDescent="0.25">
      <c r="D377" s="85"/>
    </row>
    <row r="378" spans="4:4" x14ac:dyDescent="0.25">
      <c r="D378" s="85"/>
    </row>
    <row r="379" spans="4:4" x14ac:dyDescent="0.25">
      <c r="D379" s="85"/>
    </row>
    <row r="380" spans="4:4" x14ac:dyDescent="0.25">
      <c r="D380" s="85"/>
    </row>
    <row r="381" spans="4:4" x14ac:dyDescent="0.25">
      <c r="D381" s="85"/>
    </row>
    <row r="382" spans="4:4" x14ac:dyDescent="0.25">
      <c r="D382" s="85"/>
    </row>
    <row r="383" spans="4:4" x14ac:dyDescent="0.25">
      <c r="D383" s="85"/>
    </row>
    <row r="384" spans="4:4" x14ac:dyDescent="0.25">
      <c r="D384" s="85"/>
    </row>
    <row r="385" spans="4:4" x14ac:dyDescent="0.25">
      <c r="D385" s="85"/>
    </row>
    <row r="386" spans="4:4" x14ac:dyDescent="0.25">
      <c r="D386" s="85"/>
    </row>
    <row r="387" spans="4:4" x14ac:dyDescent="0.25">
      <c r="D387" s="85"/>
    </row>
    <row r="388" spans="4:4" x14ac:dyDescent="0.25">
      <c r="D388" s="85"/>
    </row>
    <row r="389" spans="4:4" x14ac:dyDescent="0.25">
      <c r="D389" s="85"/>
    </row>
    <row r="390" spans="4:4" x14ac:dyDescent="0.25">
      <c r="D390" s="85"/>
    </row>
    <row r="391" spans="4:4" x14ac:dyDescent="0.25">
      <c r="D391" s="85"/>
    </row>
    <row r="392" spans="4:4" x14ac:dyDescent="0.25">
      <c r="D392" s="85"/>
    </row>
    <row r="393" spans="4:4" x14ac:dyDescent="0.25">
      <c r="D393" s="85"/>
    </row>
    <row r="394" spans="4:4" x14ac:dyDescent="0.25">
      <c r="D394" s="85"/>
    </row>
    <row r="395" spans="4:4" x14ac:dyDescent="0.25">
      <c r="D395" s="85"/>
    </row>
    <row r="396" spans="4:4" x14ac:dyDescent="0.25">
      <c r="D396" s="85"/>
    </row>
    <row r="397" spans="4:4" x14ac:dyDescent="0.25">
      <c r="D397" s="85"/>
    </row>
    <row r="398" spans="4:4" x14ac:dyDescent="0.25">
      <c r="D398" s="85"/>
    </row>
    <row r="399" spans="4:4" x14ac:dyDescent="0.25">
      <c r="D399" s="85"/>
    </row>
    <row r="400" spans="4:4" x14ac:dyDescent="0.25">
      <c r="D400" s="85"/>
    </row>
    <row r="401" spans="4:4" x14ac:dyDescent="0.25">
      <c r="D401" s="85"/>
    </row>
    <row r="402" spans="4:4" x14ac:dyDescent="0.25">
      <c r="D402" s="85"/>
    </row>
    <row r="403" spans="4:4" x14ac:dyDescent="0.25">
      <c r="D403" s="85"/>
    </row>
    <row r="404" spans="4:4" x14ac:dyDescent="0.25">
      <c r="D404" s="85"/>
    </row>
    <row r="405" spans="4:4" x14ac:dyDescent="0.25">
      <c r="D405" s="85"/>
    </row>
    <row r="406" spans="4:4" x14ac:dyDescent="0.25">
      <c r="D406" s="85"/>
    </row>
    <row r="407" spans="4:4" x14ac:dyDescent="0.25">
      <c r="D407" s="85"/>
    </row>
  </sheetData>
  <sheetProtection password="E2B3" sheet="1" objects="1" scenarios="1" selectLockedCells="1"/>
  <mergeCells count="38">
    <mergeCell ref="D15:F15"/>
    <mergeCell ref="B32:H32"/>
    <mergeCell ref="B24:H24"/>
    <mergeCell ref="B25:H25"/>
    <mergeCell ref="C114:E114"/>
    <mergeCell ref="B37:H37"/>
    <mergeCell ref="B40:H40"/>
    <mergeCell ref="B84:H84"/>
    <mergeCell ref="B90:H90"/>
    <mergeCell ref="C106:E106"/>
    <mergeCell ref="C110:E110"/>
    <mergeCell ref="B58:H58"/>
    <mergeCell ref="B65:H65"/>
    <mergeCell ref="B83:H83"/>
    <mergeCell ref="B29:C29"/>
    <mergeCell ref="C122:E122"/>
    <mergeCell ref="B128:H128"/>
    <mergeCell ref="B129:H129"/>
    <mergeCell ref="B148:H148"/>
    <mergeCell ref="C118:E118"/>
    <mergeCell ref="B146:H146"/>
    <mergeCell ref="F135:F136"/>
    <mergeCell ref="G135:G136"/>
    <mergeCell ref="H135:H136"/>
    <mergeCell ref="C4:H4"/>
    <mergeCell ref="C6:H6"/>
    <mergeCell ref="C8:H8"/>
    <mergeCell ref="C10:D10"/>
    <mergeCell ref="C13:D13"/>
    <mergeCell ref="C201:E201"/>
    <mergeCell ref="B187:H187"/>
    <mergeCell ref="C165:E165"/>
    <mergeCell ref="C169:E169"/>
    <mergeCell ref="C173:E173"/>
    <mergeCell ref="C177:E177"/>
    <mergeCell ref="C181:E181"/>
    <mergeCell ref="C189:E189"/>
    <mergeCell ref="C195:E195"/>
  </mergeCells>
  <conditionalFormatting sqref="D30">
    <cfRule type="expression" dxfId="6" priority="33">
      <formula>$B$25</formula>
    </cfRule>
  </conditionalFormatting>
  <conditionalFormatting sqref="D31">
    <cfRule type="expression" dxfId="5" priority="30">
      <formula>$B$23</formula>
    </cfRule>
  </conditionalFormatting>
  <conditionalFormatting sqref="D89">
    <cfRule type="expression" dxfId="4" priority="29">
      <formula>$B$25</formula>
    </cfRule>
  </conditionalFormatting>
  <conditionalFormatting sqref="D81">
    <cfRule type="expression" dxfId="3" priority="9">
      <formula>$B$25</formula>
    </cfRule>
  </conditionalFormatting>
  <conditionalFormatting sqref="D36">
    <cfRule type="expression" dxfId="2" priority="6">
      <formula>$B$25</formula>
    </cfRule>
  </conditionalFormatting>
  <conditionalFormatting sqref="D39">
    <cfRule type="expression" dxfId="1" priority="5">
      <formula>$B$25</formula>
    </cfRule>
  </conditionalFormatting>
  <dataValidations xWindow="515" yWindow="498" count="75">
    <dataValidation allowBlank="1" showInputMessage="1" showErrorMessage="1" prompt="Refere-se à quantidade total anual do fertilizante especificado na coluna a esquerda utilizada na área total (informada no campo &quot;Área total&quot;) dividida pela produção total de colmos (informada no campo &quot;Produção total&quot;). Deve ser reportada em base úmida." sqref="D64" xr:uid="{00000000-0002-0000-1100-000000000000}"/>
    <dataValidation type="custom" allowBlank="1" showInputMessage="1" showErrorMessage="1" error="Número inválido. Podem ser preenchidos números com até duas casas decimais." prompt="Refere-se à área total da usina, ou seja, a soma das áreas de plantio e colheita. " sqref="D26" xr:uid="{00000000-0002-0000-1100-000001000000}">
      <formula1>IF(AND(D26&gt;=0,D26=ROUND(D26,2)),D26,"")</formula1>
    </dataValidation>
    <dataValidation type="decimal" allowBlank="1" showInputMessage="1" showErrorMessage="1" error="Número inválido." prompt="No campo BX, X representa o teor de mistura de biodiesel vigente no ano de referência para o preenchimento." sqref="G156 G68" xr:uid="{00000000-0002-0000-1100-000002000000}">
      <formula1>0</formula1>
      <formula2>1</formula2>
    </dataValidation>
    <dataValidation type="decimal" allowBlank="1" showInputMessage="1" showErrorMessage="1" error="Número inválido." prompt="Refere-se ao percentual do volume de bioquerosene comercializado que é distribuido (distância percorrida da usina até o posto de combustível) via sistema logístico exclusivamente Rodoviário." sqref="D190" xr:uid="{00000000-0002-0000-1100-000003000000}">
      <formula1>0</formula1>
      <formula2>1</formula2>
    </dataValidation>
    <dataValidation type="decimal" allowBlank="1" showInputMessage="1" showErrorMessage="1" error="Número inválido. " prompt="Refere-se ao percentual do volume de bioquerosene comercializado que é distribuido (distância percorrida da usina até o posto de combustível) via sistema logístico &quot;Rodoviário + Dutoviário.&quot;" sqref="D191" xr:uid="{00000000-0002-0000-1100-000004000000}">
      <formula1>0</formula1>
      <formula2>1</formula2>
    </dataValidation>
    <dataValidation type="decimal" allowBlank="1" showInputMessage="1" showErrorMessage="1" error="Número inválido. " prompt="Refere-se ao percentual do volume de bioquerosene comercializado que é distribuido (distância percorrida da usina até o posto de combustível) via sistema logístico &quot;Rodoviário + Ferroviário&quot;." sqref="D192" xr:uid="{00000000-0002-0000-1100-000005000000}">
      <formula1>0</formula1>
      <formula2>1</formula2>
    </dataValidation>
    <dataValidation type="decimal" allowBlank="1" showInputMessage="1" showErrorMessage="1" error="Número inválido. " prompt="Refere-se ao teor médio de umidade da soja." sqref="G28" xr:uid="{00000000-0002-0000-1100-000006000000}">
      <formula1>0</formula1>
      <formula2>1</formula2>
    </dataValidation>
    <dataValidation type="list" allowBlank="1" showInputMessage="1" showErrorMessage="1" sqref="C13:D13" xr:uid="{00000000-0002-0000-1100-000007000000}">
      <formula1>Produtos_HEFA</formula1>
    </dataValidation>
    <dataValidation type="decimal" allowBlank="1" showInputMessage="1" showErrorMessage="1" error="Número inválido." prompt="Refere-se ao percentual do volume de gasolina renovável comercializado que é distribuido (distância percorrida da usina até o posto de combustível) via sistema logístico exclusivamente Rodoviário." sqref="D196" xr:uid="{00000000-0002-0000-1100-000008000000}">
      <formula1>0</formula1>
      <formula2>1</formula2>
    </dataValidation>
    <dataValidation type="decimal" allowBlank="1" showInputMessage="1" showErrorMessage="1" error="Número inválido. " prompt="Refere-se ao percentual do volume de gasolina renovável comercializado que é distribuido (distância percorrida da usina até o posto de combustível) via sistema logístico &quot;Rodoviário + Dutoviário.&quot;" sqref="D197" xr:uid="{00000000-0002-0000-1100-000009000000}">
      <formula1>0</formula1>
      <formula2>1</formula2>
    </dataValidation>
    <dataValidation type="decimal" allowBlank="1" showInputMessage="1" showErrorMessage="1" error="Número inválido. " prompt="Refere-se ao percentual do volume de gasolina renovável comercializado que é distribuido (distância percorrida da usina até o posto de combustível) via sistema logístico &quot;Rodoviário + Ferroviário&quot;." sqref="D198" xr:uid="{00000000-0002-0000-1100-00000A000000}">
      <formula1>0</formula1>
      <formula2>1</formula2>
    </dataValidation>
    <dataValidation type="decimal" allowBlank="1" showInputMessage="1" showErrorMessage="1" error="Número inválido. " prompt="Refere-se ao percentual do volume de diesel renovável comercializado que é distribuido (distância percorrida da usina até o posto de combustível) via sistema logístico exclusivamente Rodoviário." sqref="D202" xr:uid="{00000000-0002-0000-1100-00000B000000}">
      <formula1>0</formula1>
      <formula2>1</formula2>
    </dataValidation>
    <dataValidation type="decimal" allowBlank="1" showInputMessage="1" showErrorMessage="1" error="Número inválido. " prompt="Refere-se ao percentual do volume de diesel renovável comercializado que é distribuido (distância percorrida da usina até o posto de combustível) via sistema logístico &quot;Rodoviário + Dutoviário.&quot;" sqref="D203" xr:uid="{00000000-0002-0000-1100-00000C000000}">
      <formula1>0</formula1>
      <formula2>1</formula2>
    </dataValidation>
    <dataValidation type="decimal" allowBlank="1" showInputMessage="1" showErrorMessage="1" error="Número inválido. " prompt="Refere-se ao percentual do volume de diesel renovável comercializado que é distribuido (distância percorrida da usina até o posto de combustível) via sistema logístico &quot;Rodoviário + Ferroviário&quot;." sqref="D204" xr:uid="{00000000-0002-0000-1100-00000D000000}">
      <formula1>0</formula1>
      <formula2>1</formula2>
    </dataValidation>
    <dataValidation type="custom" allowBlank="1" showInputMessage="1" showErrorMessage="1" error="Número inválido. Podem ser preenchidos números com até duas casas decimais." prompt="Intensidade de Carbono média do óleo adquirido pela unidade produtora de bioquerosene calculado na Planilha de Fornecedores de Óleo." sqref="F137 G135:G137" xr:uid="{00000000-0002-0000-1100-00000E000000}">
      <formula1>IF(AND(F135&lt;10000,F135=ROUND(F135,2)),F135,"")</formula1>
    </dataValidation>
    <dataValidation type="custom" allowBlank="1" showInputMessage="1" showErrorMessage="1" error="Número inválido. " prompt="Informar o Poder Calorífico Inferior (PCI) do biogás." sqref="G103:G104 G161:G162" xr:uid="{00000000-0002-0000-1100-00000F000000}">
      <formula1>IF(AND(G103&lt;=50,G103&gt;=30,G103=ROUND(G103,2)),G103,"")</formula1>
    </dataValidation>
    <dataValidation type="custom" allowBlank="1" showInputMessage="1" showErrorMessage="1" error="Número inválido." prompt="Informar o Poder Calorífico Inferior (PCI) do gás combustível renovável." sqref="G163" xr:uid="{00000000-0002-0000-1100-000010000000}">
      <formula1>IF(AND(G163&lt;=50,G163&gt;=30,G163=ROUND(G163,2)),G163,"")</formula1>
    </dataValidation>
    <dataValidation type="decimal" allowBlank="1" showInputMessage="1" showErrorMessage="1" error="Número inválido. Podem ser preenchidos números com até duas casas decimais." sqref="G85" xr:uid="{00000000-0002-0000-1100-000011000000}">
      <formula1>0</formula1>
      <formula2>1</formula2>
    </dataValidation>
    <dataValidation type="decimal" allowBlank="1" showInputMessage="1" showErrorMessage="1" error="Número inválido. " sqref="G98" xr:uid="{00000000-0002-0000-1100-000012000000}">
      <formula1>0</formula1>
      <formula2>1</formula2>
    </dataValidation>
    <dataValidation type="decimal" allowBlank="1" showInputMessage="1" showErrorMessage="1" error="Número inválido." prompt="Teor de umidade:_x000a__x000a_Massa de água / Massa total" sqref="D120 D112 D183 D171 D175 D179 D116 D124" xr:uid="{00000000-0002-0000-1100-000013000000}">
      <formula1>0</formula1>
      <formula2>1</formula2>
    </dataValidation>
    <dataValidation allowBlank="1" showInputMessage="1" showErrorMessage="1" prompt="Esses dados devem ser preenchido de acordo com o resultado obtido na planilha de cadastro de produtores de biomassa." sqref="B24:H24" xr:uid="{00000000-0002-0000-1100-000014000000}"/>
    <dataValidation type="decimal" allowBlank="1" showInputMessage="1" showErrorMessage="1" error="Número inválido. " prompt="Teor de umidade:_x000a__x000a_Massa de água / Massa total" sqref="D108 D167" xr:uid="{00000000-0002-0000-1100-000015000000}">
      <formula1>0</formula1>
      <formula2>1</formula2>
    </dataValidation>
    <dataValidation type="custom" allowBlank="1" showInputMessage="1" showErrorMessage="1" error="Número inválido. Podem ser preenchidos números com até duas casas decimais." prompt="Refere-se à quantidade total de produto produzido na área total de produção, informada no campo &quot;Área total&quot;." sqref="D28" xr:uid="{00000000-0002-0000-1100-000016000000}">
      <formula1>IF(AND(D28&gt;=0,D28=ROUND(D28,2)),D28,"")</formula1>
    </dataValidation>
    <dataValidation type="custom" allowBlank="1" showInputMessage="1" showErrorMessage="1" error="Número inválido. Podem ser preenchidos números com até duas casas decimais." prompt="Quantidade anual consumida de calcário calcítico na área total, dividida pelo valor informado no campo Produção Total." sqref="D33" xr:uid="{00000000-0002-0000-1100-000017000000}">
      <formula1>IF(AND(D33&gt;=0,D33=ROUND(D33,2)),D33,"")</formula1>
    </dataValidation>
    <dataValidation type="custom" allowBlank="1" showInputMessage="1" showErrorMessage="1" error="Número inválido. Podem ser preenchidos números com até duas casas decimais." prompt="Quantidade anual consumida de calcário dolomítico na área total, dividida pelo valor informado no campo Produção Total." sqref="D34" xr:uid="{00000000-0002-0000-1100-000018000000}">
      <formula1>IF(AND(D34&gt;=0,D34=ROUND(D34,2)),D34,"")</formula1>
    </dataValidation>
    <dataValidation type="custom" allowBlank="1" showInputMessage="1" showErrorMessage="1" error="Número inválido. Podem ser preenchidos números com até duas casas decimais." prompt="Quantidade anual consumida de gesso na área total, dividida pelo valor informado no campo Produção Total." sqref="D35" xr:uid="{00000000-0002-0000-1100-000019000000}">
      <formula1>IF(AND(D35&gt;=0,D35=ROUND(D35,2)),D35,"")</formula1>
    </dataValidation>
    <dataValidation type="custom" allowBlank="1" showInputMessage="1" showErrorMessage="1" error="Número inválido. Podem ser preenchidos números com até duas casas decimais." prompt="Quantidade anual consumida de sementes na área total, dividida pelo valor informado no campo Produção Total." sqref="D38" xr:uid="{00000000-0002-0000-1100-00001A000000}">
      <formula1>IF(AND(D38&gt;=0,D38=ROUND(D38,2)),D38,"")</formula1>
    </dataValidation>
    <dataValidation type="custom" allowBlank="1" showInputMessage="1" showErrorMessage="1" error="Número inválido. Podem ser preenchidos números com até duas casas decimais." prompt="Quantidade anual consumida do elemento N por fonte na área total, dividida pelo valor informado no campo Produção Total." sqref="D41:D42 D44 D46:D50 D54" xr:uid="{00000000-0002-0000-1100-00001B000000}">
      <formula1>IF(AND(D41&gt;=0,D41=ROUND(D41,2)),D41,"")</formula1>
    </dataValidation>
    <dataValidation type="custom" allowBlank="1" showInputMessage="1" showErrorMessage="1" error="Número inválido. Podem ser preenchidos números com até duas casas decimais." prompt="Quantidade anual consumida de P₂O₅ por fonte na área total, dividida pelo valor informado no campo Produção Total." sqref="D43 D45 D51:D52 D55" xr:uid="{00000000-0002-0000-1100-00001C000000}">
      <formula1>IF(AND(D43&gt;=0,D43=ROUND(D43,2)),D43,"")</formula1>
    </dataValidation>
    <dataValidation type="custom" allowBlank="1" showInputMessage="1" showErrorMessage="1" error="Número inválido. Podem ser preenchidos números com até duas casas decimais." prompt="Quantidade anual consumida de K₂O por fonte na área total, dividida pelo valor informado no campo Produção Total " sqref="D53 D56" xr:uid="{00000000-0002-0000-1100-00001D000000}">
      <formula1>IF(AND(D53&gt;=0,D53=ROUND(D53,2)),D53,"")</formula1>
    </dataValidation>
    <dataValidation type="custom" allowBlank="1" showInputMessage="1" showErrorMessage="1" error="Número inválido. Podem ser preenchidos números com até duas casas decimais." prompt="Quantidade total anual do fertilizante especificado na coluna à esquerda utilizada na área total dividida pelo valor informado no campo Produção Total." sqref="D59:D63" xr:uid="{00000000-0002-0000-1100-00001E000000}">
      <formula1>IF(AND(D59&gt;=0,D59=ROUND(D59,2)),D59,"")</formula1>
    </dataValidation>
    <dataValidation type="custom" allowBlank="1" showInputMessage="1" showErrorMessage="1" error="Número inválido. Podem ser preenchidos números com até duas casas decimais." prompt="Informar a concentração de nitrogênio em cada fonte." sqref="G59:G63" xr:uid="{00000000-0002-0000-1100-00001F000000}">
      <formula1>IF(AND(G59&gt;=0,G59=ROUND(G59,2)),G59,"")</formula1>
    </dataValidation>
    <dataValidation type="custom" allowBlank="1" showInputMessage="1" showErrorMessage="1" error="Número inválido. Podem ser preenchidos números com até duas casas decimais." prompt="Quantidade total anual de combustíveis (soma do consumo nas operações agrícolas, irrigação, transportes de soja, deslocamento de pessoas, etc) na área total dividida pelo valor informado em Produção Total." sqref="D66:D75" xr:uid="{00000000-0002-0000-1100-000020000000}">
      <formula1>IF(AND(D66&gt;=0,D66=ROUND(D66,2)),D66,"")</formula1>
    </dataValidation>
    <dataValidation type="custom" allowBlank="1" showInputMessage="1" showErrorMessage="1" error="Número inválido. Podem ser preenchidos números com até duas casas decimais." prompt="Quantidade total anual de eletricidade consumida na área total dividida pelo valor informado no campo Produção Total." sqref="D76:D80" xr:uid="{00000000-0002-0000-1100-000021000000}">
      <formula1>IF(AND(D76&gt;=0,D76=ROUND(D76,2)),D76,"")</formula1>
    </dataValidation>
    <dataValidation type="custom" allowBlank="1" showInputMessage="1" showErrorMessage="1" error="Número inválido. Podem ser preenchidos números com até duas casas decimais." prompt="Refere-se a quantidade anual total de grãos de soja processados." sqref="D85" xr:uid="{00000000-0002-0000-1100-000022000000}">
      <formula1>IF(AND(D85&gt;=0,D85=ROUND(D85,2)),D85,"")</formula1>
    </dataValidation>
    <dataValidation type="custom" allowBlank="1" showInputMessage="1" showErrorMessage="1" error="Número inválido. Podem ser preenchidos números com até duas casas decimais." prompt="Refere-se à distância média ponderada percorrida para transportar a quantidade de grãos de soja reportada na célula &quot;Processamento efetivo&quot; do armazém até a unidade de esmagamento." sqref="D86" xr:uid="{00000000-0002-0000-1100-000023000000}">
      <formula1>IF(AND(D86&gt;=0,D86=ROUND(D86,2)),D86,"")</formula1>
    </dataValidation>
    <dataValidation type="custom" allowBlank="1" showInputMessage="1" showErrorMessage="1" error="Número inválido. Podem ser preenchidos números com até duas casas decimais." prompt="Refere-se à massa total de óleo produzido anualmente dividida pela quantidade total anual de grãos processada (informada no campo &quot;Processamento efetivo&quot;)." sqref="D87" xr:uid="{00000000-0002-0000-1100-000024000000}">
      <formula1>IF(AND(D87&gt;=0,D87=ROUND(D87,2)),D87,"")</formula1>
    </dataValidation>
    <dataValidation type="custom" allowBlank="1" showInputMessage="1" showErrorMessage="1" error="Número inválido. Podem ser preenchidos números com até duas casas decimais." prompt="Refere-se à massa total de farelo produzido anualmente dividida pela quantidade total anual de grãos processada (informada no campo &quot;Processamento efetivo&quot;)." sqref="D88" xr:uid="{00000000-0002-0000-1100-000025000000}">
      <formula1>IF(AND(D88&gt;=0,D88=ROUND(D88,2)),D88,"")</formula1>
    </dataValidation>
    <dataValidation type="custom" allowBlank="1" showInputMessage="1" showErrorMessage="1" error="Número inválido. Podem ser preenchidos números com até duas casas decimais." prompt="Informe a quantidade total anual de eletricidade da rede consumida dividida pela quantidade total anual de grãos de soja processados (informada no campo &quot;Processamento efetivo&quot;). " sqref="D91:D95" xr:uid="{00000000-0002-0000-1100-000026000000}">
      <formula1>IF(AND(D91&gt;=0,D91=ROUND(D91,2)),D91,"")</formula1>
    </dataValidation>
    <dataValidation type="custom" allowBlank="1" showInputMessage="1" showErrorMessage="1" error="Número inválido. Podem ser preenchidos números com até duas casas decimais." prompt="Informe a quantidade total anual de diesel consumido dividido pela quantidade total anual de grãos de soja processados (informada no campo &quot;Processamento efetivo&quot;). " sqref="D96:D100" xr:uid="{00000000-0002-0000-1100-000027000000}">
      <formula1>IF(AND(D96&gt;=0,D96=ROUND(D96,2)),D96,"")</formula1>
    </dataValidation>
    <dataValidation type="custom" allowBlank="1" showInputMessage="1" showErrorMessage="1" error="Número inválido. Podem ser preenchidos números com até duas casas decimais." prompt="Informe a quantidade total anual de biodiesel (B100) consumido dividida pela quantidade total anual de grãos de soja processados (informada no campo &quot;Processamento efetivo&quot;). " sqref="D101" xr:uid="{00000000-0002-0000-1100-000028000000}">
      <formula1>IF(AND(D101&gt;=0,D101=ROUND(D101,2)),D101,"")</formula1>
    </dataValidation>
    <dataValidation type="custom" allowBlank="1" showInputMessage="1" showErrorMessage="1" error="Número inválido. Podem ser preenchidos números com até duas casas decimais." prompt="Informe a quantidade total anual de combustível consumido dividida pela quantidade total anual de grãos de soja processados." sqref="D102" xr:uid="{00000000-0002-0000-1100-000029000000}">
      <formula1>IF(AND(D102&gt;=0,D102=ROUND(D102,2)),D102,"")</formula1>
    </dataValidation>
    <dataValidation type="custom" allowBlank="1" showInputMessage="1" showErrorMessage="1" error="Número inválido. Podem ser preenchidos números com até duas casas decimais." prompt="Informe a quantidade total anual de biogás consumido dividida pela quantidade total anual de grãos de soja processados." sqref="D103" xr:uid="{00000000-0002-0000-1100-00002A000000}">
      <formula1>IF(AND(D103&gt;=0,D103=ROUND(D103,2)),D103,"")</formula1>
    </dataValidation>
    <dataValidation type="custom" allowBlank="1" showInputMessage="1" showErrorMessage="1" error="Número inválido. Podem ser preenchidos números com até duas casas decimais." prompt="Informe a quantidade total anual de biometano consumido dividido pela quantidade total anual de grãos de soja processados. Biogás próprio refere-se ao biogás produzido na mesma unidade de produção, usando residuos disponíveis nessa unidade." sqref="D104" xr:uid="{00000000-0002-0000-1100-00002B000000}">
      <formula1>IF(AND(D104&gt;=0,D104=ROUND(D104,2)),D104,"")</formula1>
    </dataValidation>
    <dataValidation type="custom" allowBlank="1" showInputMessage="1" showErrorMessage="1" error="Número inválido. Podem ser preenchidos números com até duas casas decimais." prompt="Informe a quantidade total anual de gás natural consumido dividido pela quantidade total anual de grãos de soja processados (informada no campo &quot;Processamento efetivo&quot;). " sqref="D105" xr:uid="{00000000-0002-0000-1100-00002C000000}">
      <formula1>IF(AND(D105&gt;=0,D105=ROUND(D105,2)),D105,"")</formula1>
    </dataValidation>
    <dataValidation type="custom" allowBlank="1" showInputMessage="1" showErrorMessage="1" error="Número inválido. Podem ser preenchidos números com até duas casas decimais." prompt="Refere-se à quantidade total anual de cavaco adquirido pela usina e utilizado para geração de vapor/eletricidade, dividido pela quantidade de grãos processada (informada no campo &quot;Processamento efetivo&quot;). Deve ser reportado em base úmida." sqref="D107" xr:uid="{00000000-0002-0000-1100-00002D000000}">
      <formula1>IF(AND(D107&gt;=0,D107=ROUND(D107,2)),D107,"")</formula1>
    </dataValidation>
    <dataValidation type="custom" allowBlank="1" showInputMessage="1" showErrorMessage="1" error="Número inválido. Podem ser preenchidos números com até duas casas decimais." prompt="Distância média ponderada de transporte da palha do fornecedor até a usina." sqref="D184 D125" xr:uid="{00000000-0002-0000-1100-00002E000000}">
      <formula1>IF(AND(D125&gt;=0,D125=ROUND(D125,2)),D125,"")</formula1>
    </dataValidation>
    <dataValidation type="custom" allowBlank="1" showInputMessage="1" showErrorMessage="1" error="Número inválido. Podem ser preenchidos números com até duas casas decimais." prompt="Refere-se à quantidade total anual de lenha adquirida pela usina e utilizada para geração de vapor/eletricidade, dividido pela quantidade de óleo processado (informada no campo &quot;Processamento efetivo&quot;). Deve ser reportado em base úmida." sqref="D111" xr:uid="{00000000-0002-0000-1100-00002F000000}">
      <formula1>IF(AND(D111&gt;=0,D111=ROUND(D111,2)),D111,"")</formula1>
    </dataValidation>
    <dataValidation type="custom" allowBlank="1" showInputMessage="1" showErrorMessage="1" error="Número inválido. Podem ser preenchidos números com até duas casas decimais." prompt="Refere-se à quantidade total anual de resíduos florestais adquirido pela usina e utilizado para geração de vapor/eletricidade, dividido pela quantidade de óleo processado (informada no campo &quot;Processamento efetivo&quot;). Deve ser reportado em base úmida." sqref="D115 D174" xr:uid="{00000000-0002-0000-1100-000030000000}">
      <formula1>IF(AND(D115&gt;=0,D115=ROUND(D115,2)),D115,"")</formula1>
    </dataValidation>
    <dataValidation type="custom" allowBlank="1" showInputMessage="1" showErrorMessage="1" error="Número inválido. Podem ser preenchidos números com até duas casas decimais." prompt="Refere-se à quantidade total anual de bagaço de cana adquirido pela usina e utilizado para geração de vapor/eletricidade, dividido pela quantidade de grãos processados (informada no campo &quot;Processamento efetivo&quot;). Deve ser reportado em base úmida." sqref="D119" xr:uid="{00000000-0002-0000-1100-000031000000}">
      <formula1>IF(AND(D119&gt;=0,D119=ROUND(D119,2)),D119,"")</formula1>
    </dataValidation>
    <dataValidation type="custom" allowBlank="1" showInputMessage="1" showErrorMessage="1" error="Número inválido. Podem ser preenchidos números com até duas casas decimais." prompt="Refere-se à quantidade total anual de palha de cana adquirida pela usina e utilizada para geração de vapor/eletricidade, dividido pela quantidade de grãos processados (informada no campo &quot;Processamento efetivo&quot;). Deve ser reportado em base úmida." sqref="D123" xr:uid="{00000000-0002-0000-1100-000032000000}">
      <formula1>IF(AND(D123&gt;=0,D123=ROUND(D123,2)),D123,"")</formula1>
    </dataValidation>
    <dataValidation type="custom" allowBlank="1" showInputMessage="1" showErrorMessage="1" error="Número inválido. Podem ser preenchidos números com até duas casas decimais." prompt="Refere-se a quantidade anual total de óleo de soja próprio processado." sqref="D131" xr:uid="{00000000-0002-0000-1100-000033000000}">
      <formula1>IF(AND(D131&gt;=0,D131=ROUND(D131,2)),D131,"")</formula1>
    </dataValidation>
    <dataValidation type="custom" allowBlank="1" showInputMessage="1" showErrorMessage="1" error="Número inválido. Podem ser preenchidos números com até duas casas decimais." prompt="Refere-se à distância média ponderada percorrida para transportar a quantidade de óleo reportada na célula &quot;Processamento efetivo&quot; da unidade de extração de óleo até a unidade de produção do bioquerosene." sqref="D132" xr:uid="{00000000-0002-0000-1100-000034000000}">
      <formula1>IF(AND(D132&gt;=0,D132=ROUND(D132,2)),D132,"")</formula1>
    </dataValidation>
    <dataValidation type="custom" allowBlank="1" showInputMessage="1" showErrorMessage="1" error="Número inválido. Podem ser preenchidos números com até duas casas decimais." prompt="Volume total anual de óleo de soja adquirido pela unidade produtora de bioquerosene. Valor calculado na Planilha de Fornecedores de Óleo." sqref="D135" xr:uid="{00000000-0002-0000-1100-000035000000}">
      <formula1>IF(AND(D135&gt;=0,D135=ROUND(D135,2)),D135,"")</formula1>
    </dataValidation>
    <dataValidation type="custom" allowBlank="1" showInputMessage="1" showErrorMessage="1" error="Número inválido. Podem ser preenchidos números com até duas casas decimais." prompt="Distância média ponderada de transporte percorrida do óleo de soja da unidade de extração até a unidade de produção de bioquerosene. Valor calculado na Planilha de Fornecedores de Óleo." sqref="D136" xr:uid="{00000000-0002-0000-1100-000036000000}">
      <formula1>IF(AND(D136&gt;=0,D136=ROUND(D136,2)),D136,"")</formula1>
    </dataValidation>
    <dataValidation type="custom" allowBlank="1" showInputMessage="1" showErrorMessage="1" error="Número inválido. Podem ser preenchidos números com até duas casas decimais." prompt="Refere-se à massa total de bioquerosene produzido anualmente dividida pela quantidade anual total de óleo processado (informada no campo &quot;Processamento efetivo&quot;)." sqref="D140" xr:uid="{00000000-0002-0000-1100-000037000000}">
      <formula1>IF(AND(D140&gt;=0,D140=ROUND(D140,2)),D140,"")</formula1>
    </dataValidation>
    <dataValidation type="custom" allowBlank="1" showInputMessage="1" showErrorMessage="1" error="Número inválido. Podem ser preenchidos números com até duas casas decimais." prompt="Refere-se à massa total de gasolina renovável produzida anualmente dividida pela quantidade total anual de óleo processado." sqref="D141" xr:uid="{00000000-0002-0000-1100-000038000000}">
      <formula1>IF(AND(D141&gt;=0,D141=ROUND(D141,2)),D141,"")</formula1>
    </dataValidation>
    <dataValidation type="custom" allowBlank="1" showInputMessage="1" showErrorMessage="1" error="Número inválido. Podem ser preenchidos números com até duas casas decimais." prompt="Refere-se à massa total de diesel renovável produzida anualmente dividida pela quantidade total anual de óleo processado." sqref="D142" xr:uid="{00000000-0002-0000-1100-000039000000}">
      <formula1>IF(AND(D142&gt;=0,D142=ROUND(D142,2)),D142,"")</formula1>
    </dataValidation>
    <dataValidation type="custom" allowBlank="1" showInputMessage="1" showErrorMessage="1" error="Número inválido. Podem ser preenchidos números com até duas casas decimais." prompt="Refere-se à massa total de gás liquefeito renovável produzida anualmente dividida pela quantidade total anual de óleo processado." sqref="D143" xr:uid="{00000000-0002-0000-1100-00003A000000}">
      <formula1>IF(AND(D143&gt;=0,D143=ROUND(D143,2)),D143,"")</formula1>
    </dataValidation>
    <dataValidation type="custom" allowBlank="1" showInputMessage="1" showErrorMessage="1" error="Número inválido. Podem ser preenchidos números com até duas casas decimais." prompt="Refere-se à quantidade total de eletricidade comercializada anualmente dividida pela quantidade total anual de óleo processado." sqref="D144" xr:uid="{00000000-0002-0000-1100-00003B000000}">
      <formula1>IF(AND(D144&gt;=0,D144=ROUND(D144,2)),D144,"")</formula1>
    </dataValidation>
    <dataValidation type="custom" allowBlank="1" showInputMessage="1" showErrorMessage="1" error="Número inválido. Podem ser preenchidos números com até duas casas decimais." prompt="Refere-se à quantidade total de hidrogênio consumida anualmente dividida pela quantidade total anual de óleo processado." sqref="D147" xr:uid="{00000000-0002-0000-1100-00003C000000}">
      <formula1>IF(AND(D147&gt;=0,D147=ROUND(D147,2)),D147,"")</formula1>
    </dataValidation>
    <dataValidation type="custom" allowBlank="1" showInputMessage="1" showErrorMessage="1" error="Número inválido. Podem ser preenchidos números com até duas casas decimais." prompt="Refere-se ao consumo de eletricidade, por fonte, dividido pela quantidade total de óleo processado." sqref="D149:D153" xr:uid="{00000000-0002-0000-1100-00003D000000}">
      <formula1>IF(AND(D149&gt;=0,D149=ROUND(D149,2)),D149,"")</formula1>
    </dataValidation>
    <dataValidation type="custom" allowBlank="1" showInputMessage="1" showErrorMessage="1" error="Número inválido. Podem ser preenchidos números com até duas casas decimais." prompt="Refere-se ao consumo total de combustíveis, por fonte, dividido pela quantidade total de óleo processado." sqref="D154:D161 D164" xr:uid="{00000000-0002-0000-1100-00003E000000}">
      <formula1>IF(AND(D154&gt;=0,D154=ROUND(D154,2)),D154,"")</formula1>
    </dataValidation>
    <dataValidation type="custom" allowBlank="1" showInputMessage="1" showErrorMessage="1" error="Número inválido. Podem ser preenchidos números com até duas casas decimais." prompt="Refere-se ao consumo total de combustíveis, por fonte, dividido pela quantidade total de óleo processado. Biogás próprio refere-se ao biogás produzido na mesma unidade de produção, usando residuos disponíveis nessa unidade." sqref="D162" xr:uid="{00000000-0002-0000-1100-00003F000000}">
      <formula1>IF(AND(D162&gt;=0,D162=ROUND(D162,2)),D162,"")</formula1>
    </dataValidation>
    <dataValidation type="custom" allowBlank="1" showInputMessage="1" showErrorMessage="1" error="Número inválido. Podem ser preenchidos números com até duas casas decimais." prompt="Refere-se ao consumo total de combustíveis, por fonte, dividido pela quantidade total de óleo processado. Gás combustível renovável próprio refere-se ao gás liquefeito renovável produzido na própria unidade de produção." sqref="D163" xr:uid="{00000000-0002-0000-1100-000040000000}">
      <formula1>IF(AND(D163&gt;=0,D163=ROUND(D163,2)),D163,"")</formula1>
    </dataValidation>
    <dataValidation type="custom" allowBlank="1" showInputMessage="1" showErrorMessage="1" error="Número inválido. Podem ser preenchidos números com até duas casas decimais." prompt="Refere-se à quantidade total anual de cavaco adquirido pela usina e utilizado para geração de vapor/eletricidade, dividido pela quantidade de óleo processado (informada no campo &quot;Processamento efetivo&quot;). Deve ser reportado em base úmida." sqref="D166" xr:uid="{00000000-0002-0000-1100-000041000000}">
      <formula1>IF(AND(D166&gt;=0,D166=ROUND(D166,2)),D166,"")</formula1>
    </dataValidation>
    <dataValidation type="custom" allowBlank="1" showInputMessage="1" showErrorMessage="1" error="Número inválido. Podem ser preenchidos números com até duas casas decimais." prompt="Refere-se à quantidade total anual de lenha adquirido pela usina e utilizado para geração de vapor/eletricidade, dividido pela quantidade de óleo processado (informada no campo &quot;Processamento efetivo&quot;). Deve ser reportado em base úmida." sqref="D170" xr:uid="{00000000-0002-0000-1100-000042000000}">
      <formula1>IF(AND(D170&gt;=0,D170=ROUND(D170,2)),D170,"")</formula1>
    </dataValidation>
    <dataValidation type="custom" allowBlank="1" showInputMessage="1" showErrorMessage="1" error="Número inválido. Podem ser preenchidos números com até duas casas decimais." prompt="Refere-se à quantidade total anual de bagaço de cana adquirido pela usina e utilizado para geração de vapor/eletricidade, dividido pela quantidade de óleo processado (informada no campo &quot;Processamento efetivo&quot;). Deve ser reportado em base úmida." sqref="D178" xr:uid="{00000000-0002-0000-1100-000043000000}">
      <formula1>IF(AND(D178&gt;=0,D178=ROUND(D178,2)),D178,"")</formula1>
    </dataValidation>
    <dataValidation type="custom" allowBlank="1" showInputMessage="1" showErrorMessage="1" error="Número inválido. Podem ser preenchidos números com até duas casas decimais." prompt="Refere-se à quantidade total anual de palha de cana adquirido pela usina e utilizado para geração de vapor/eletricidade, dividido pela quantidade de óleo processado (informada no campo &quot;Processamento efetivo&quot;). Deve ser reportado em base úmida." sqref="D182" xr:uid="{00000000-0002-0000-1100-000044000000}">
      <formula1>IF(AND(D182&gt;=0,D182=ROUND(D182,2)),D182,"")</formula1>
    </dataValidation>
    <dataValidation type="custom" allowBlank="1" showInputMessage="1" showErrorMessage="1" error="Número inválido. Podem ser preenchidos números com até duas casas decimais." prompt="Distância média ponderada de transporte do bagaço do fornecedor até a usina." sqref="D180 D121" xr:uid="{00000000-0002-0000-1100-000045000000}">
      <formula1>IF(AND(D121&gt;=0,D121=ROUND(D121,2)),D121,"")</formula1>
    </dataValidation>
    <dataValidation type="custom" allowBlank="1" showInputMessage="1" showErrorMessage="1" error="Número inválido. Podem ser preenchidos números com até duas casas decimais." prompt="Distância média ponderada de transporte do cavaco do fornecedor até a usina." sqref="D109 D168" xr:uid="{00000000-0002-0000-1100-000046000000}">
      <formula1>IF(AND(D109&gt;=0,D109=ROUND(D109,2)),D109,"")</formula1>
    </dataValidation>
    <dataValidation type="custom" allowBlank="1" showInputMessage="1" showErrorMessage="1" error="Número inválido. Podem ser preenchidos números com até duas casas decimais." prompt="Distância média ponderada de transporte da lenha do fornecedor até a usina." sqref="D113 D172" xr:uid="{00000000-0002-0000-1100-000047000000}">
      <formula1>IF(AND(D113&gt;=0,D113=ROUND(D113,2)),D113,"")</formula1>
    </dataValidation>
    <dataValidation type="custom" allowBlank="1" showInputMessage="1" showErrorMessage="1" error="Número inválido. Podem ser preenchidos números com até duas casas decimais." prompt="Distância média ponderada de transporte dos resíduos florestais do fornecedor até a usina." sqref="D117 D176" xr:uid="{00000000-0002-0000-1100-000048000000}">
      <formula1>IF(AND(D117&gt;=0,D117=ROUND(D117,2)),D117,"")</formula1>
    </dataValidation>
    <dataValidation allowBlank="1" showErrorMessage="1" sqref="D29 G29" xr:uid="{00000000-0002-0000-1100-000049000000}"/>
    <dataValidation type="list" allowBlank="1" showInputMessage="1" showErrorMessage="1" sqref="D133 D137" xr:uid="{00000000-0002-0000-1100-00004A000000}">
      <formula1>SN</formula1>
    </dataValidation>
  </dataValidations>
  <pageMargins left="0.511811024" right="0.511811024" top="0.78740157499999996" bottom="0.78740157499999996" header="0.31496062000000002" footer="0.31496062000000002"/>
  <pageSetup paperSize="9" orientation="portrait" r:id="rId1"/>
  <drawing r:id="rId2"/>
  <extLst>
    <ext xmlns:x14="http://schemas.microsoft.com/office/spreadsheetml/2009/9/main" uri="{CCE6A557-97BC-4b89-ADB6-D9C93CAAB3DF}">
      <x14:dataValidations xmlns:xm="http://schemas.microsoft.com/office/excel/2006/main" xWindow="515" yWindow="498" count="1">
        <x14:dataValidation type="list" allowBlank="1" showInputMessage="1" showErrorMessage="1" prompt="Informe o tipo de usina: verticalizada (produção de óleo e transesterificação integrados) ou não (produção de óleo em unidade (s) separada (s) da unidade de transesterificação)" xr:uid="{00000000-0002-0000-1100-00004B000000}">
          <x14:formula1>
            <xm:f>Listas!$B$3:$B$4</xm:f>
          </x14:formula1>
          <xm:sqref>D132</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Plan43">
    <tabColor rgb="FFA8C615"/>
  </sheetPr>
  <dimension ref="A1:CZ217"/>
  <sheetViews>
    <sheetView showGridLines="0" workbookViewId="0">
      <selection activeCell="I144" sqref="I144"/>
    </sheetView>
  </sheetViews>
  <sheetFormatPr defaultColWidth="9.140625" defaultRowHeight="15" x14ac:dyDescent="0.25"/>
  <cols>
    <col min="1" max="1" width="5.7109375" style="85" customWidth="1"/>
    <col min="2" max="2" width="50.7109375" style="85" customWidth="1"/>
    <col min="3" max="6" width="15.7109375" style="85" customWidth="1"/>
    <col min="7" max="7" width="2.7109375" style="85" customWidth="1"/>
    <col min="8" max="8" width="15.7109375" style="88" customWidth="1"/>
    <col min="9" max="10" width="15.7109375" style="85" customWidth="1"/>
    <col min="11" max="11" width="17.5703125" style="85" customWidth="1"/>
    <col min="12" max="12" width="17.28515625" style="85" customWidth="1"/>
    <col min="13" max="13" width="30" style="85" customWidth="1"/>
    <col min="14" max="14" width="25.7109375" style="85" customWidth="1"/>
    <col min="15" max="15" width="18.85546875" style="85" bestFit="1" customWidth="1"/>
    <col min="16" max="16" width="19.7109375" style="85" bestFit="1" customWidth="1"/>
    <col min="17" max="17" width="56.7109375" style="85" bestFit="1" customWidth="1"/>
    <col min="18" max="77" width="9.140625" style="85"/>
    <col min="78" max="78" width="12.7109375" style="85" bestFit="1" customWidth="1"/>
    <col min="79" max="81" width="9.28515625" style="85" bestFit="1" customWidth="1"/>
    <col min="82" max="16384" width="9.140625" style="85"/>
  </cols>
  <sheetData>
    <row r="1" spans="1:11" ht="14.45" customHeight="1" x14ac:dyDescent="0.25">
      <c r="A1" s="315"/>
      <c r="B1" s="315"/>
      <c r="C1" s="315"/>
      <c r="D1" s="315"/>
      <c r="E1" s="315"/>
      <c r="F1" s="315"/>
      <c r="H1" s="85"/>
      <c r="J1" s="108"/>
      <c r="K1" s="108"/>
    </row>
    <row r="2" spans="1:11" ht="14.45" customHeight="1" x14ac:dyDescent="0.25">
      <c r="B2" s="741" t="s">
        <v>843</v>
      </c>
      <c r="C2" s="741"/>
      <c r="D2" s="741"/>
      <c r="E2" s="741"/>
      <c r="F2" s="741"/>
      <c r="G2" s="453"/>
      <c r="H2" s="437"/>
      <c r="I2" s="437"/>
      <c r="J2" s="231"/>
      <c r="K2" s="231"/>
    </row>
    <row r="3" spans="1:11" ht="14.45" customHeight="1" x14ac:dyDescent="0.25">
      <c r="B3" s="279"/>
      <c r="C3" s="739" t="s">
        <v>837</v>
      </c>
      <c r="D3" s="739"/>
      <c r="E3" s="739" t="s">
        <v>838</v>
      </c>
      <c r="F3" s="739"/>
      <c r="G3" s="583"/>
      <c r="H3" s="739" t="s">
        <v>839</v>
      </c>
      <c r="I3" s="739"/>
      <c r="J3" s="231"/>
      <c r="K3" s="231"/>
    </row>
    <row r="4" spans="1:11" ht="14.45" customHeight="1" x14ac:dyDescent="0.25">
      <c r="B4" s="307" t="s">
        <v>536</v>
      </c>
      <c r="C4" s="752" t="e">
        <f>SUM(C5:C9)</f>
        <v>#DIV/0!</v>
      </c>
      <c r="D4" s="752"/>
      <c r="E4" s="752" t="e">
        <f>SUM(E5:E9)</f>
        <v>#DIV/0!</v>
      </c>
      <c r="F4" s="752"/>
      <c r="G4" s="620"/>
      <c r="H4" s="752" t="e">
        <f>SUM(H5:H9)</f>
        <v>#DIV/0!</v>
      </c>
      <c r="I4" s="752"/>
      <c r="J4" s="231"/>
      <c r="K4" s="231"/>
    </row>
    <row r="5" spans="1:11" x14ac:dyDescent="0.25">
      <c r="B5" s="273" t="s">
        <v>180</v>
      </c>
      <c r="C5" s="237" t="e">
        <f>H71</f>
        <v>#DIV/0!</v>
      </c>
      <c r="D5" s="258" t="e">
        <f>C5/$C$4</f>
        <v>#DIV/0!</v>
      </c>
      <c r="E5" s="237" t="e">
        <f>I71</f>
        <v>#DIV/0!</v>
      </c>
      <c r="F5" s="258" t="e">
        <f>E5/$E$4</f>
        <v>#DIV/0!</v>
      </c>
      <c r="G5" s="585"/>
      <c r="H5" s="237" t="e">
        <f>J71</f>
        <v>#DIV/0!</v>
      </c>
      <c r="I5" s="258" t="e">
        <f>H5/$H$4</f>
        <v>#DIV/0!</v>
      </c>
      <c r="J5" s="231"/>
      <c r="K5" s="231"/>
    </row>
    <row r="6" spans="1:11" x14ac:dyDescent="0.25">
      <c r="B6" s="273" t="s">
        <v>580</v>
      </c>
      <c r="C6" s="237" t="e">
        <f>H123-H83</f>
        <v>#DIV/0!</v>
      </c>
      <c r="D6" s="258" t="e">
        <f>C6/$C$4</f>
        <v>#DIV/0!</v>
      </c>
      <c r="E6" s="237" t="e">
        <f>I123-I83</f>
        <v>#DIV/0!</v>
      </c>
      <c r="F6" s="258" t="e">
        <f t="shared" ref="F6:F9" si="0">E6/$E$4</f>
        <v>#DIV/0!</v>
      </c>
      <c r="G6" s="585"/>
      <c r="H6" s="237" t="e">
        <f>J123-J83</f>
        <v>#DIV/0!</v>
      </c>
      <c r="I6" s="258" t="e">
        <f t="shared" ref="I6:I9" si="1">H6/$H$4</f>
        <v>#DIV/0!</v>
      </c>
      <c r="J6" s="231"/>
      <c r="K6" s="231"/>
    </row>
    <row r="7" spans="1:11" x14ac:dyDescent="0.25">
      <c r="B7" s="273" t="s">
        <v>826</v>
      </c>
      <c r="C7" s="237" t="e">
        <f>H178-H136</f>
        <v>#DIV/0!</v>
      </c>
      <c r="D7" s="258" t="e">
        <f t="shared" ref="D7:D9" si="2">C7/$C$4</f>
        <v>#DIV/0!</v>
      </c>
      <c r="E7" s="237" t="e">
        <f>I178-I136</f>
        <v>#DIV/0!</v>
      </c>
      <c r="F7" s="258" t="e">
        <f t="shared" si="0"/>
        <v>#DIV/0!</v>
      </c>
      <c r="G7" s="585"/>
      <c r="H7" s="237" t="e">
        <f>J178-J136</f>
        <v>#DIV/0!</v>
      </c>
      <c r="I7" s="258" t="e">
        <f t="shared" si="1"/>
        <v>#DIV/0!</v>
      </c>
      <c r="J7" s="231"/>
      <c r="K7" s="231"/>
    </row>
    <row r="8" spans="1:11" x14ac:dyDescent="0.25">
      <c r="B8" s="273" t="s">
        <v>170</v>
      </c>
      <c r="C8" s="237" t="e">
        <f>$D$209</f>
        <v>#DIV/0!</v>
      </c>
      <c r="D8" s="258" t="e">
        <f t="shared" si="2"/>
        <v>#DIV/0!</v>
      </c>
      <c r="E8" s="237" t="e">
        <f>$E$209</f>
        <v>#DIV/0!</v>
      </c>
      <c r="F8" s="258" t="e">
        <f t="shared" si="0"/>
        <v>#DIV/0!</v>
      </c>
      <c r="G8" s="585"/>
      <c r="H8" s="237" t="e">
        <f>$F$209</f>
        <v>#DIV/0!</v>
      </c>
      <c r="I8" s="258" t="e">
        <f t="shared" si="1"/>
        <v>#DIV/0!</v>
      </c>
      <c r="J8" s="231"/>
      <c r="K8" s="231"/>
    </row>
    <row r="9" spans="1:11" x14ac:dyDescent="0.25">
      <c r="B9" s="273" t="s">
        <v>63</v>
      </c>
      <c r="C9" s="237">
        <f>'FE''s queima combustíveis'!$I$14</f>
        <v>0.550962365235796</v>
      </c>
      <c r="D9" s="258" t="e">
        <f t="shared" si="2"/>
        <v>#DIV/0!</v>
      </c>
      <c r="E9" s="237">
        <f>'FE''s queima combustíveis'!$I$15</f>
        <v>2.7323202136181579</v>
      </c>
      <c r="F9" s="258" t="e">
        <f t="shared" si="0"/>
        <v>#DIV/0!</v>
      </c>
      <c r="G9" s="585"/>
      <c r="H9" s="237">
        <f>'FE''s queima combustíveis'!$I$16</f>
        <v>1.0987037115961802</v>
      </c>
      <c r="I9" s="258" t="e">
        <f t="shared" si="1"/>
        <v>#DIV/0!</v>
      </c>
      <c r="J9" s="231"/>
      <c r="K9" s="231"/>
    </row>
    <row r="10" spans="1:11" x14ac:dyDescent="0.25">
      <c r="H10" s="339"/>
      <c r="J10" s="319"/>
    </row>
    <row r="11" spans="1:11" x14ac:dyDescent="0.25">
      <c r="H11" s="339"/>
      <c r="I11" s="345"/>
      <c r="J11" s="319"/>
    </row>
    <row r="12" spans="1:11" ht="18.75" customHeight="1" x14ac:dyDescent="0.25">
      <c r="B12" s="741" t="s">
        <v>548</v>
      </c>
      <c r="C12" s="741"/>
      <c r="D12" s="741"/>
      <c r="E12" s="741"/>
      <c r="F12" s="741"/>
      <c r="G12" s="453"/>
      <c r="H12" s="740" t="s">
        <v>940</v>
      </c>
      <c r="I12" s="740" t="s">
        <v>941</v>
      </c>
      <c r="J12" s="740" t="s">
        <v>942</v>
      </c>
    </row>
    <row r="13" spans="1:11" ht="18" customHeight="1" x14ac:dyDescent="0.25">
      <c r="B13" s="279" t="s">
        <v>510</v>
      </c>
      <c r="C13" s="306"/>
      <c r="D13" s="306" t="s">
        <v>51</v>
      </c>
      <c r="E13" s="306" t="s">
        <v>549</v>
      </c>
      <c r="F13" s="306"/>
      <c r="G13" s="583"/>
      <c r="H13" s="740"/>
      <c r="I13" s="740"/>
      <c r="J13" s="740"/>
    </row>
    <row r="14" spans="1:11" ht="15" customHeight="1" x14ac:dyDescent="0.25">
      <c r="B14" s="273" t="s">
        <v>611</v>
      </c>
      <c r="C14" s="273" t="s">
        <v>1</v>
      </c>
      <c r="D14" s="247" t="e">
        <f>(CombAlterHEFA!D28*1000)/CombAlterHEFA!D26</f>
        <v>#DIV/0!</v>
      </c>
      <c r="E14" s="232">
        <v>1000</v>
      </c>
      <c r="F14" s="233"/>
      <c r="G14" s="586"/>
      <c r="H14" s="740"/>
      <c r="I14" s="740"/>
      <c r="J14" s="740"/>
    </row>
    <row r="15" spans="1:11" ht="18" customHeight="1" x14ac:dyDescent="0.25">
      <c r="B15" s="281" t="s">
        <v>511</v>
      </c>
      <c r="C15" s="306"/>
      <c r="D15" s="306" t="s">
        <v>51</v>
      </c>
      <c r="E15" s="306" t="s">
        <v>549</v>
      </c>
      <c r="F15" s="283" t="s">
        <v>550</v>
      </c>
      <c r="G15" s="272"/>
      <c r="H15" s="740"/>
      <c r="I15" s="740"/>
      <c r="J15" s="740"/>
    </row>
    <row r="16" spans="1:11" ht="15" customHeight="1" x14ac:dyDescent="0.25">
      <c r="B16" s="273" t="s">
        <v>413</v>
      </c>
      <c r="C16" s="273" t="s">
        <v>36</v>
      </c>
      <c r="D16" s="232">
        <v>1</v>
      </c>
      <c r="E16" s="235" t="e">
        <f>(D16*E14)/D14</f>
        <v>#DIV/0!</v>
      </c>
      <c r="F16" s="236"/>
      <c r="G16" s="588"/>
      <c r="H16" s="740"/>
      <c r="I16" s="740"/>
      <c r="J16" s="740"/>
    </row>
    <row r="17" spans="2:10" ht="18" x14ac:dyDescent="0.25">
      <c r="B17" s="281" t="s">
        <v>60</v>
      </c>
      <c r="C17" s="306"/>
      <c r="D17" s="306" t="s">
        <v>51</v>
      </c>
      <c r="E17" s="306" t="s">
        <v>549</v>
      </c>
      <c r="F17" s="283" t="s">
        <v>550</v>
      </c>
      <c r="G17" s="272"/>
      <c r="H17" s="283" t="s">
        <v>535</v>
      </c>
      <c r="I17" s="283" t="s">
        <v>535</v>
      </c>
      <c r="J17" s="283" t="s">
        <v>535</v>
      </c>
    </row>
    <row r="18" spans="2:10" x14ac:dyDescent="0.25">
      <c r="B18" s="273" t="s">
        <v>110</v>
      </c>
      <c r="C18" s="273" t="s">
        <v>1</v>
      </c>
      <c r="D18" s="232"/>
      <c r="E18" s="237">
        <f>CombAlterHEFA!D38</f>
        <v>0</v>
      </c>
      <c r="F18" s="238">
        <f>E18*'Dados auxiliares'!$H$76</f>
        <v>0</v>
      </c>
      <c r="G18" s="590"/>
      <c r="H18" s="550" t="e">
        <f>(((F18*$F$76)/$D$76)*1000*$F$130)/$E$130</f>
        <v>#DIV/0!</v>
      </c>
      <c r="I18" s="550" t="e">
        <f>(((F18*$F$76)/$D$76)*1000*$F$131)/$E$131</f>
        <v>#DIV/0!</v>
      </c>
      <c r="J18" s="550" t="e">
        <f>(((F18*$F$76)/$D$76)*1000*$F$132)/$E$132</f>
        <v>#DIV/0!</v>
      </c>
    </row>
    <row r="19" spans="2:10" x14ac:dyDescent="0.25">
      <c r="B19" s="284" t="s">
        <v>419</v>
      </c>
      <c r="C19" s="285"/>
      <c r="D19" s="285"/>
      <c r="E19" s="286"/>
      <c r="F19" s="287"/>
      <c r="G19" s="589"/>
      <c r="H19" s="289"/>
      <c r="I19" s="289"/>
      <c r="J19" s="289"/>
    </row>
    <row r="20" spans="2:10" x14ac:dyDescent="0.25">
      <c r="B20" s="273" t="s">
        <v>164</v>
      </c>
      <c r="C20" s="273" t="s">
        <v>1</v>
      </c>
      <c r="D20" s="232"/>
      <c r="E20" s="237">
        <f>CombAlterHEFA!D33</f>
        <v>0</v>
      </c>
      <c r="F20" s="238">
        <f>E20*'Dados auxiliares'!$H$52</f>
        <v>0</v>
      </c>
      <c r="G20" s="590"/>
      <c r="H20" s="550" t="e">
        <f t="shared" ref="H20:H38" si="3">(((F20*$F$76)/$D$76)*1000*$F$130)/$E$130</f>
        <v>#DIV/0!</v>
      </c>
      <c r="I20" s="550" t="e">
        <f t="shared" ref="I20:I38" si="4">(((F20*$F$76)/$D$76)*1000*$F$131)/$E$131</f>
        <v>#DIV/0!</v>
      </c>
      <c r="J20" s="550" t="e">
        <f t="shared" ref="J20:J38" si="5">(((F20*$F$76)/$D$76)*1000*$F$132)/$E$132</f>
        <v>#DIV/0!</v>
      </c>
    </row>
    <row r="21" spans="2:10" x14ac:dyDescent="0.25">
      <c r="B21" s="273" t="s">
        <v>163</v>
      </c>
      <c r="C21" s="273" t="s">
        <v>1</v>
      </c>
      <c r="D21" s="232"/>
      <c r="E21" s="237">
        <f>CombAlterHEFA!D34</f>
        <v>0</v>
      </c>
      <c r="F21" s="238">
        <f>E21*'Dados auxiliares'!$H$53</f>
        <v>0</v>
      </c>
      <c r="G21" s="590"/>
      <c r="H21" s="550" t="e">
        <f t="shared" si="3"/>
        <v>#DIV/0!</v>
      </c>
      <c r="I21" s="550" t="e">
        <f t="shared" si="4"/>
        <v>#DIV/0!</v>
      </c>
      <c r="J21" s="550" t="e">
        <f t="shared" si="5"/>
        <v>#DIV/0!</v>
      </c>
    </row>
    <row r="22" spans="2:10" x14ac:dyDescent="0.25">
      <c r="B22" s="273" t="s">
        <v>28</v>
      </c>
      <c r="C22" s="273" t="s">
        <v>1</v>
      </c>
      <c r="D22" s="232"/>
      <c r="E22" s="237">
        <f>CombAlterHEFA!D35</f>
        <v>0</v>
      </c>
      <c r="F22" s="238">
        <f>E22*'Dados auxiliares'!$H$54</f>
        <v>0</v>
      </c>
      <c r="G22" s="590"/>
      <c r="H22" s="550" t="e">
        <f t="shared" si="3"/>
        <v>#DIV/0!</v>
      </c>
      <c r="I22" s="550" t="e">
        <f t="shared" si="4"/>
        <v>#DIV/0!</v>
      </c>
      <c r="J22" s="550" t="e">
        <f t="shared" si="5"/>
        <v>#DIV/0!</v>
      </c>
    </row>
    <row r="23" spans="2:10" x14ac:dyDescent="0.25">
      <c r="B23" s="273" t="s">
        <v>393</v>
      </c>
      <c r="C23" s="273" t="s">
        <v>409</v>
      </c>
      <c r="D23" s="232"/>
      <c r="E23" s="237">
        <f>CombAlterHEFA!D41</f>
        <v>0</v>
      </c>
      <c r="F23" s="238">
        <f>E23*'Dados auxiliares'!$H$55</f>
        <v>0</v>
      </c>
      <c r="G23" s="590"/>
      <c r="H23" s="550" t="e">
        <f t="shared" si="3"/>
        <v>#DIV/0!</v>
      </c>
      <c r="I23" s="550" t="e">
        <f t="shared" si="4"/>
        <v>#DIV/0!</v>
      </c>
      <c r="J23" s="550" t="e">
        <f t="shared" si="5"/>
        <v>#DIV/0!</v>
      </c>
    </row>
    <row r="24" spans="2:10" x14ac:dyDescent="0.25">
      <c r="B24" s="273" t="s">
        <v>551</v>
      </c>
      <c r="C24" s="273" t="s">
        <v>409</v>
      </c>
      <c r="D24" s="232"/>
      <c r="E24" s="237">
        <f>CombAlterHEFA!D42</f>
        <v>0</v>
      </c>
      <c r="F24" s="238">
        <f>E24*'Dados auxiliares'!$H$56</f>
        <v>0</v>
      </c>
      <c r="G24" s="590"/>
      <c r="H24" s="550" t="e">
        <f t="shared" si="3"/>
        <v>#DIV/0!</v>
      </c>
      <c r="I24" s="550" t="e">
        <f t="shared" si="4"/>
        <v>#DIV/0!</v>
      </c>
      <c r="J24" s="550" t="e">
        <f t="shared" si="5"/>
        <v>#DIV/0!</v>
      </c>
    </row>
    <row r="25" spans="2:10" x14ac:dyDescent="0.25">
      <c r="B25" s="273" t="s">
        <v>558</v>
      </c>
      <c r="C25" s="273" t="s">
        <v>410</v>
      </c>
      <c r="D25" s="232"/>
      <c r="E25" s="237">
        <f>CombAlterHEFA!D43</f>
        <v>0</v>
      </c>
      <c r="F25" s="238">
        <f>E25*'Dados auxiliares'!$H$57</f>
        <v>0</v>
      </c>
      <c r="G25" s="590"/>
      <c r="H25" s="550" t="e">
        <f t="shared" si="3"/>
        <v>#DIV/0!</v>
      </c>
      <c r="I25" s="550" t="e">
        <f t="shared" si="4"/>
        <v>#DIV/0!</v>
      </c>
      <c r="J25" s="550" t="e">
        <f t="shared" si="5"/>
        <v>#DIV/0!</v>
      </c>
    </row>
    <row r="26" spans="2:10" x14ac:dyDescent="0.25">
      <c r="B26" s="273" t="s">
        <v>553</v>
      </c>
      <c r="C26" s="273" t="s">
        <v>409</v>
      </c>
      <c r="D26" s="232"/>
      <c r="E26" s="237">
        <f>CombAlterHEFA!D44</f>
        <v>0</v>
      </c>
      <c r="F26" s="238">
        <f>E26*'Dados auxiliares'!$H$58</f>
        <v>0</v>
      </c>
      <c r="G26" s="590"/>
      <c r="H26" s="550" t="e">
        <f t="shared" si="3"/>
        <v>#DIV/0!</v>
      </c>
      <c r="I26" s="550" t="e">
        <f t="shared" si="4"/>
        <v>#DIV/0!</v>
      </c>
      <c r="J26" s="550" t="e">
        <f t="shared" si="5"/>
        <v>#DIV/0!</v>
      </c>
    </row>
    <row r="27" spans="2:10" x14ac:dyDescent="0.25">
      <c r="B27" s="273" t="s">
        <v>559</v>
      </c>
      <c r="C27" s="273" t="s">
        <v>410</v>
      </c>
      <c r="D27" s="232"/>
      <c r="E27" s="237">
        <f>CombAlterHEFA!D45</f>
        <v>0</v>
      </c>
      <c r="F27" s="238">
        <f>E27*'Dados auxiliares'!$H$59</f>
        <v>0</v>
      </c>
      <c r="G27" s="590"/>
      <c r="H27" s="550" t="e">
        <f t="shared" si="3"/>
        <v>#DIV/0!</v>
      </c>
      <c r="I27" s="550" t="e">
        <f t="shared" si="4"/>
        <v>#DIV/0!</v>
      </c>
      <c r="J27" s="550" t="e">
        <f t="shared" si="5"/>
        <v>#DIV/0!</v>
      </c>
    </row>
    <row r="28" spans="2:10" x14ac:dyDescent="0.25">
      <c r="B28" s="273" t="s">
        <v>554</v>
      </c>
      <c r="C28" s="273" t="s">
        <v>409</v>
      </c>
      <c r="D28" s="232"/>
      <c r="E28" s="237">
        <f>CombAlterHEFA!D46</f>
        <v>0</v>
      </c>
      <c r="F28" s="238">
        <f>E28*'Dados auxiliares'!$H$60</f>
        <v>0</v>
      </c>
      <c r="G28" s="590"/>
      <c r="H28" s="550" t="e">
        <f t="shared" si="3"/>
        <v>#DIV/0!</v>
      </c>
      <c r="I28" s="550" t="e">
        <f t="shared" si="4"/>
        <v>#DIV/0!</v>
      </c>
      <c r="J28" s="550" t="e">
        <f t="shared" si="5"/>
        <v>#DIV/0!</v>
      </c>
    </row>
    <row r="29" spans="2:10" x14ac:dyDescent="0.25">
      <c r="B29" s="273" t="s">
        <v>555</v>
      </c>
      <c r="C29" s="273" t="s">
        <v>409</v>
      </c>
      <c r="D29" s="232"/>
      <c r="E29" s="237">
        <f>CombAlterHEFA!D47</f>
        <v>0</v>
      </c>
      <c r="F29" s="238">
        <f>E29*'Dados auxiliares'!$H$61</f>
        <v>0</v>
      </c>
      <c r="G29" s="590"/>
      <c r="H29" s="550" t="e">
        <f t="shared" si="3"/>
        <v>#DIV/0!</v>
      </c>
      <c r="I29" s="550" t="e">
        <f t="shared" si="4"/>
        <v>#DIV/0!</v>
      </c>
      <c r="J29" s="550" t="e">
        <f t="shared" si="5"/>
        <v>#DIV/0!</v>
      </c>
    </row>
    <row r="30" spans="2:10" x14ac:dyDescent="0.25">
      <c r="B30" s="273" t="s">
        <v>399</v>
      </c>
      <c r="C30" s="273" t="s">
        <v>409</v>
      </c>
      <c r="D30" s="232"/>
      <c r="E30" s="237">
        <f>CombAlterHEFA!D48</f>
        <v>0</v>
      </c>
      <c r="F30" s="238">
        <f>E30*'Dados auxiliares'!$H$62</f>
        <v>0</v>
      </c>
      <c r="G30" s="590"/>
      <c r="H30" s="550" t="e">
        <f t="shared" si="3"/>
        <v>#DIV/0!</v>
      </c>
      <c r="I30" s="550" t="e">
        <f t="shared" si="4"/>
        <v>#DIV/0!</v>
      </c>
      <c r="J30" s="550" t="e">
        <f t="shared" si="5"/>
        <v>#DIV/0!</v>
      </c>
    </row>
    <row r="31" spans="2:10" x14ac:dyDescent="0.25">
      <c r="B31" s="273" t="s">
        <v>556</v>
      </c>
      <c r="C31" s="273" t="s">
        <v>409</v>
      </c>
      <c r="D31" s="232"/>
      <c r="E31" s="237">
        <f>CombAlterHEFA!D49</f>
        <v>0</v>
      </c>
      <c r="F31" s="238">
        <f>E31*'Dados auxiliares'!$H$63</f>
        <v>0</v>
      </c>
      <c r="G31" s="590"/>
      <c r="H31" s="550" t="e">
        <f t="shared" si="3"/>
        <v>#DIV/0!</v>
      </c>
      <c r="I31" s="550" t="e">
        <f t="shared" si="4"/>
        <v>#DIV/0!</v>
      </c>
      <c r="J31" s="550" t="e">
        <f t="shared" si="5"/>
        <v>#DIV/0!</v>
      </c>
    </row>
    <row r="32" spans="2:10" x14ac:dyDescent="0.25">
      <c r="B32" s="273" t="s">
        <v>557</v>
      </c>
      <c r="C32" s="273" t="s">
        <v>409</v>
      </c>
      <c r="D32" s="232"/>
      <c r="E32" s="237">
        <f>CombAlterHEFA!D50</f>
        <v>0</v>
      </c>
      <c r="F32" s="238">
        <f>E32*'Dados auxiliares'!$H$64</f>
        <v>0</v>
      </c>
      <c r="G32" s="590"/>
      <c r="H32" s="550" t="e">
        <f t="shared" si="3"/>
        <v>#DIV/0!</v>
      </c>
      <c r="I32" s="550" t="e">
        <f t="shared" si="4"/>
        <v>#DIV/0!</v>
      </c>
      <c r="J32" s="550" t="e">
        <f t="shared" si="5"/>
        <v>#DIV/0!</v>
      </c>
    </row>
    <row r="33" spans="2:10" x14ac:dyDescent="0.25">
      <c r="B33" s="273" t="s">
        <v>560</v>
      </c>
      <c r="C33" s="273" t="s">
        <v>410</v>
      </c>
      <c r="D33" s="241"/>
      <c r="E33" s="237">
        <f>CombAlterHEFA!D51</f>
        <v>0</v>
      </c>
      <c r="F33" s="242">
        <f>E33*'Dados auxiliares'!$H$66</f>
        <v>0</v>
      </c>
      <c r="G33" s="591"/>
      <c r="H33" s="550" t="e">
        <f t="shared" si="3"/>
        <v>#DIV/0!</v>
      </c>
      <c r="I33" s="550" t="e">
        <f t="shared" si="4"/>
        <v>#DIV/0!</v>
      </c>
      <c r="J33" s="550" t="e">
        <f t="shared" si="5"/>
        <v>#DIV/0!</v>
      </c>
    </row>
    <row r="34" spans="2:10" x14ac:dyDescent="0.25">
      <c r="B34" s="273" t="s">
        <v>561</v>
      </c>
      <c r="C34" s="273" t="s">
        <v>410</v>
      </c>
      <c r="D34" s="241"/>
      <c r="E34" s="237">
        <f>CombAlterHEFA!D52</f>
        <v>0</v>
      </c>
      <c r="F34" s="242">
        <f>E34*'Dados auxiliares'!$H$67</f>
        <v>0</v>
      </c>
      <c r="G34" s="591"/>
      <c r="H34" s="550" t="e">
        <f t="shared" si="3"/>
        <v>#DIV/0!</v>
      </c>
      <c r="I34" s="550" t="e">
        <f t="shared" si="4"/>
        <v>#DIV/0!</v>
      </c>
      <c r="J34" s="550" t="e">
        <f t="shared" si="5"/>
        <v>#DIV/0!</v>
      </c>
    </row>
    <row r="35" spans="2:10" x14ac:dyDescent="0.25">
      <c r="B35" s="273" t="s">
        <v>562</v>
      </c>
      <c r="C35" s="273" t="s">
        <v>411</v>
      </c>
      <c r="D35" s="232"/>
      <c r="E35" s="237">
        <f>CombAlterHEFA!D53</f>
        <v>0</v>
      </c>
      <c r="F35" s="238">
        <f>E35*'Dados auxiliares'!H$68</f>
        <v>0</v>
      </c>
      <c r="G35" s="590"/>
      <c r="H35" s="550" t="e">
        <f t="shared" si="3"/>
        <v>#DIV/0!</v>
      </c>
      <c r="I35" s="550" t="e">
        <f t="shared" si="4"/>
        <v>#DIV/0!</v>
      </c>
      <c r="J35" s="550" t="e">
        <f t="shared" si="5"/>
        <v>#DIV/0!</v>
      </c>
    </row>
    <row r="36" spans="2:10" x14ac:dyDescent="0.25">
      <c r="B36" s="273" t="s">
        <v>256</v>
      </c>
      <c r="C36" s="273" t="s">
        <v>409</v>
      </c>
      <c r="D36" s="232"/>
      <c r="E36" s="237">
        <f>CombAlterHEFA!D54</f>
        <v>0</v>
      </c>
      <c r="F36" s="238">
        <f>E36*'Dados auxiliares'!H$69</f>
        <v>0</v>
      </c>
      <c r="G36" s="590"/>
      <c r="H36" s="550" t="e">
        <f t="shared" si="3"/>
        <v>#DIV/0!</v>
      </c>
      <c r="I36" s="550" t="e">
        <f t="shared" si="4"/>
        <v>#DIV/0!</v>
      </c>
      <c r="J36" s="550" t="e">
        <f t="shared" si="5"/>
        <v>#DIV/0!</v>
      </c>
    </row>
    <row r="37" spans="2:10" x14ac:dyDescent="0.25">
      <c r="B37" s="273" t="s">
        <v>404</v>
      </c>
      <c r="C37" s="273" t="s">
        <v>410</v>
      </c>
      <c r="D37" s="241"/>
      <c r="E37" s="237">
        <f>CombAlterHEFA!D55</f>
        <v>0</v>
      </c>
      <c r="F37" s="238">
        <f>E37*'Dados auxiliares'!H$70</f>
        <v>0</v>
      </c>
      <c r="G37" s="590"/>
      <c r="H37" s="550" t="e">
        <f t="shared" si="3"/>
        <v>#DIV/0!</v>
      </c>
      <c r="I37" s="550" t="e">
        <f t="shared" si="4"/>
        <v>#DIV/0!</v>
      </c>
      <c r="J37" s="550" t="e">
        <f t="shared" si="5"/>
        <v>#DIV/0!</v>
      </c>
    </row>
    <row r="38" spans="2:10" x14ac:dyDescent="0.25">
      <c r="B38" s="273" t="s">
        <v>405</v>
      </c>
      <c r="C38" s="273" t="s">
        <v>411</v>
      </c>
      <c r="D38" s="232"/>
      <c r="E38" s="237">
        <f>CombAlterHEFA!D56</f>
        <v>0</v>
      </c>
      <c r="F38" s="238">
        <f>E38*'Dados auxiliares'!H$71</f>
        <v>0</v>
      </c>
      <c r="G38" s="590"/>
      <c r="H38" s="550" t="e">
        <f t="shared" si="3"/>
        <v>#DIV/0!</v>
      </c>
      <c r="I38" s="550" t="e">
        <f t="shared" si="4"/>
        <v>#DIV/0!</v>
      </c>
      <c r="J38" s="550" t="e">
        <f t="shared" si="5"/>
        <v>#DIV/0!</v>
      </c>
    </row>
    <row r="39" spans="2:10" x14ac:dyDescent="0.25">
      <c r="B39" s="273" t="s">
        <v>406</v>
      </c>
      <c r="C39" s="273" t="s">
        <v>1</v>
      </c>
      <c r="D39" s="232"/>
      <c r="E39" s="237">
        <f>CombAlterHEFA!D59+CombAlterHEFA!D60+CombAlterHEFA!D61+CombAlterHEFA!D62+CombAlterHEFA!D63</f>
        <v>0</v>
      </c>
      <c r="F39" s="314">
        <v>0</v>
      </c>
      <c r="G39" s="614"/>
      <c r="H39" s="550"/>
      <c r="I39" s="550"/>
      <c r="J39" s="550"/>
    </row>
    <row r="40" spans="2:10" x14ac:dyDescent="0.25">
      <c r="B40" s="284" t="s">
        <v>340</v>
      </c>
      <c r="C40" s="285"/>
      <c r="D40" s="285"/>
      <c r="E40" s="288"/>
      <c r="F40" s="289"/>
      <c r="G40" s="593"/>
      <c r="H40" s="289"/>
      <c r="I40" s="289"/>
      <c r="J40" s="289"/>
    </row>
    <row r="41" spans="2:10" x14ac:dyDescent="0.25">
      <c r="B41" s="273" t="s">
        <v>33</v>
      </c>
      <c r="C41" s="273" t="s">
        <v>1</v>
      </c>
      <c r="D41" s="232"/>
      <c r="E41" s="259">
        <f>0.000674630945913558*1000</f>
        <v>0.6746309459135581</v>
      </c>
      <c r="F41" s="238">
        <f>E41*'Dados auxiliares'!$H$74</f>
        <v>7247.2373648256971</v>
      </c>
      <c r="G41" s="590"/>
      <c r="H41" s="550" t="e">
        <f>(((F41*$F$76)/$D$76)*1000*$F$130)/$E$130</f>
        <v>#DIV/0!</v>
      </c>
      <c r="I41" s="550" t="e">
        <f>(((F41*$F$76)/$D$76)*1000*$F$131)/$E$131</f>
        <v>#DIV/0!</v>
      </c>
      <c r="J41" s="550" t="e">
        <f>(((F41*$F$76)/$D$76)*1000*$F$132)/$E$132</f>
        <v>#DIV/0!</v>
      </c>
    </row>
    <row r="42" spans="2:10" x14ac:dyDescent="0.25">
      <c r="B42" s="273" t="s">
        <v>53</v>
      </c>
      <c r="C42" s="273" t="s">
        <v>1</v>
      </c>
      <c r="D42" s="241"/>
      <c r="E42" s="259">
        <f>0.00086569230646321*1000</f>
        <v>0.86569230646321005</v>
      </c>
      <c r="F42" s="238">
        <f>E42*'Dados auxiliares'!$H$72</f>
        <v>9960.4016469307826</v>
      </c>
      <c r="G42" s="590"/>
      <c r="H42" s="550" t="e">
        <f>(((F42*$F$76)/$D$76)*1000*$F$130)/$E$130</f>
        <v>#DIV/0!</v>
      </c>
      <c r="I42" s="550" t="e">
        <f>(((F42*$F$76)/$D$76)*1000*$F$131)/$E$131</f>
        <v>#DIV/0!</v>
      </c>
      <c r="J42" s="550" t="e">
        <f>(((F42*$F$76)/$D$76)*1000*$F$132)/$E$132</f>
        <v>#DIV/0!</v>
      </c>
    </row>
    <row r="43" spans="2:10" x14ac:dyDescent="0.25">
      <c r="B43" s="273" t="s">
        <v>563</v>
      </c>
      <c r="C43" s="273" t="s">
        <v>1</v>
      </c>
      <c r="D43" s="232"/>
      <c r="E43" s="259">
        <f>0.0000652020791723256*1000</f>
        <v>6.5202079172325594E-2</v>
      </c>
      <c r="F43" s="238">
        <f>E43*'Dados auxiliares'!$H$73</f>
        <v>331.3355298709476</v>
      </c>
      <c r="G43" s="590"/>
      <c r="H43" s="550" t="e">
        <f>(((F43*$F$76)/$D$76)*1000*$F$130)/$E$130</f>
        <v>#DIV/0!</v>
      </c>
      <c r="I43" s="550" t="e">
        <f>(((F43*$F$76)/$D$76)*1000*$F$131)/$E$131</f>
        <v>#DIV/0!</v>
      </c>
      <c r="J43" s="550" t="e">
        <f>(((F43*$F$76)/$D$76)*1000*$F$132)/$E$132</f>
        <v>#DIV/0!</v>
      </c>
    </row>
    <row r="44" spans="2:10" x14ac:dyDescent="0.25">
      <c r="B44" s="284" t="s">
        <v>243</v>
      </c>
      <c r="C44" s="285"/>
      <c r="D44" s="285"/>
      <c r="E44" s="288"/>
      <c r="F44" s="289"/>
      <c r="G44" s="593"/>
      <c r="H44" s="289"/>
      <c r="I44" s="289"/>
      <c r="J44" s="289"/>
    </row>
    <row r="45" spans="2:10" ht="15.75" customHeight="1" x14ac:dyDescent="0.25">
      <c r="B45" s="273" t="s">
        <v>309</v>
      </c>
      <c r="C45" s="273" t="s">
        <v>1</v>
      </c>
      <c r="D45" s="232"/>
      <c r="E45" s="237">
        <f>(CombAlterHEFA!$D$66*(1-0.08)+CombAlterHEFA!$D$67*(1-0.1)+CombAlterHEFA!$D$68*(1-CombAlterHEFA!$G$68)+CombAlterHEFA!$D$69*(1-0.2)+CombAlterHEFA!$D$70*(1-0.3)+CombAlterHEFA!$D$71*(1-1))*('Dados auxiliares'!$D$26)</f>
        <v>0</v>
      </c>
      <c r="F45" s="238">
        <f>E45*'Dados auxiliares'!$H$116</f>
        <v>0</v>
      </c>
      <c r="G45" s="590"/>
      <c r="H45" s="550" t="e">
        <f t="shared" ref="H45:H55" si="6">(((F45*$F$76)/$D$76)*1000*$F$130)/$E$130</f>
        <v>#DIV/0!</v>
      </c>
      <c r="I45" s="550" t="e">
        <f t="shared" ref="I45:I55" si="7">(((F45*$F$76)/$D$76)*1000*$F$131)/$E$131</f>
        <v>#DIV/0!</v>
      </c>
      <c r="J45" s="550" t="e">
        <f t="shared" ref="J45:J55" si="8">(((F45*$F$76)/$D$76)*1000*$F$132)/$E$132</f>
        <v>#DIV/0!</v>
      </c>
    </row>
    <row r="46" spans="2:10" ht="15.75" customHeight="1" x14ac:dyDescent="0.25">
      <c r="B46" s="273" t="s">
        <v>187</v>
      </c>
      <c r="C46" s="273" t="s">
        <v>1</v>
      </c>
      <c r="D46" s="232"/>
      <c r="E46" s="237">
        <f>(CombAlterHEFA!$D$66*(0.08)+CombAlterHEFA!$D$67*(0.1)+CombAlterHEFA!$D$68*(CombAlterHEFA!$G$68)+CombAlterHEFA!$D$69*(0.2)+CombAlterHEFA!$D$70*(0.3)+CombAlterHEFA!$D$71*(1))*('Dados auxiliares'!$D$17)</f>
        <v>0</v>
      </c>
      <c r="F46" s="238">
        <f>E46*'Dados auxiliares'!$H$117</f>
        <v>0</v>
      </c>
      <c r="G46" s="590"/>
      <c r="H46" s="550" t="e">
        <f t="shared" si="6"/>
        <v>#DIV/0!</v>
      </c>
      <c r="I46" s="550" t="e">
        <f t="shared" si="7"/>
        <v>#DIV/0!</v>
      </c>
      <c r="J46" s="550" t="e">
        <f t="shared" si="8"/>
        <v>#DIV/0!</v>
      </c>
    </row>
    <row r="47" spans="2:10" ht="15.75" customHeight="1" x14ac:dyDescent="0.25">
      <c r="B47" s="273" t="s">
        <v>188</v>
      </c>
      <c r="C47" s="273" t="s">
        <v>1</v>
      </c>
      <c r="D47" s="232"/>
      <c r="E47" s="237">
        <f>CombAlterHEFA!$D$72*(1-'FE''s queima combustíveis'!$D$19)*'Dados auxiliares'!$D$24</f>
        <v>0</v>
      </c>
      <c r="F47" s="238">
        <f>E47*'Dados auxiliares'!$H$120</f>
        <v>0</v>
      </c>
      <c r="G47" s="590"/>
      <c r="H47" s="550" t="e">
        <f t="shared" si="6"/>
        <v>#DIV/0!</v>
      </c>
      <c r="I47" s="550" t="e">
        <f t="shared" si="7"/>
        <v>#DIV/0!</v>
      </c>
      <c r="J47" s="550" t="e">
        <f t="shared" si="8"/>
        <v>#DIV/0!</v>
      </c>
    </row>
    <row r="48" spans="2:10" ht="15.75" customHeight="1" x14ac:dyDescent="0.25">
      <c r="B48" s="273" t="s">
        <v>45</v>
      </c>
      <c r="C48" s="273" t="s">
        <v>1</v>
      </c>
      <c r="D48" s="232"/>
      <c r="E48" s="237">
        <f>CombAlterHEFA!$D$72*('FE''s queima combustíveis'!$D$19)*'Dados auxiliares'!$D$15</f>
        <v>0</v>
      </c>
      <c r="F48" s="238">
        <f>E48*'Dados auxiliares'!$H$121</f>
        <v>0</v>
      </c>
      <c r="G48" s="590"/>
      <c r="H48" s="550" t="e">
        <f t="shared" si="6"/>
        <v>#DIV/0!</v>
      </c>
      <c r="I48" s="550" t="e">
        <f t="shared" si="7"/>
        <v>#DIV/0!</v>
      </c>
      <c r="J48" s="550" t="e">
        <f t="shared" si="8"/>
        <v>#DIV/0!</v>
      </c>
    </row>
    <row r="49" spans="2:10" ht="15.75" customHeight="1" x14ac:dyDescent="0.25">
      <c r="B49" s="273" t="s">
        <v>46</v>
      </c>
      <c r="C49" s="273" t="s">
        <v>1</v>
      </c>
      <c r="D49" s="232"/>
      <c r="E49" s="237">
        <f>CombAlterHEFA!$D$73*'Dados auxiliares'!$D$16</f>
        <v>0</v>
      </c>
      <c r="F49" s="238">
        <f>E49*'Dados auxiliares'!$H$122</f>
        <v>0</v>
      </c>
      <c r="G49" s="590"/>
      <c r="H49" s="550" t="e">
        <f t="shared" si="6"/>
        <v>#DIV/0!</v>
      </c>
      <c r="I49" s="550" t="e">
        <f t="shared" si="7"/>
        <v>#DIV/0!</v>
      </c>
      <c r="J49" s="550" t="e">
        <f t="shared" si="8"/>
        <v>#DIV/0!</v>
      </c>
    </row>
    <row r="50" spans="2:10" ht="15.75" customHeight="1" x14ac:dyDescent="0.25">
      <c r="B50" s="273" t="s">
        <v>468</v>
      </c>
      <c r="C50" s="273" t="s">
        <v>169</v>
      </c>
      <c r="D50" s="232"/>
      <c r="E50" s="237">
        <f>CombAlterHEFA!D74</f>
        <v>0</v>
      </c>
      <c r="F50" s="238">
        <f>E50*('Dados auxiliares'!$D$18*1000)*'Dados auxiliares'!$F$18*'Dados auxiliares'!$H$125</f>
        <v>0</v>
      </c>
      <c r="G50" s="590"/>
      <c r="H50" s="550" t="e">
        <f t="shared" si="6"/>
        <v>#DIV/0!</v>
      </c>
      <c r="I50" s="550" t="e">
        <f t="shared" si="7"/>
        <v>#DIV/0!</v>
      </c>
      <c r="J50" s="550" t="e">
        <f t="shared" si="8"/>
        <v>#DIV/0!</v>
      </c>
    </row>
    <row r="51" spans="2:10" ht="15.75" customHeight="1" x14ac:dyDescent="0.25">
      <c r="B51" s="273" t="s">
        <v>376</v>
      </c>
      <c r="C51" s="273" t="s">
        <v>57</v>
      </c>
      <c r="D51" s="232"/>
      <c r="E51" s="237">
        <f>CombAlterHEFA!D76</f>
        <v>0</v>
      </c>
      <c r="F51" s="238">
        <f>E51*'Dados auxiliares'!$H$107</f>
        <v>0</v>
      </c>
      <c r="G51" s="590"/>
      <c r="H51" s="550" t="e">
        <f t="shared" si="6"/>
        <v>#DIV/0!</v>
      </c>
      <c r="I51" s="550" t="e">
        <f t="shared" si="7"/>
        <v>#DIV/0!</v>
      </c>
      <c r="J51" s="550" t="e">
        <f t="shared" si="8"/>
        <v>#DIV/0!</v>
      </c>
    </row>
    <row r="52" spans="2:10" ht="15.75" customHeight="1" x14ac:dyDescent="0.25">
      <c r="B52" s="273" t="s">
        <v>375</v>
      </c>
      <c r="C52" s="273" t="s">
        <v>57</v>
      </c>
      <c r="D52" s="232"/>
      <c r="E52" s="237">
        <f>CombAlterHEFA!D77</f>
        <v>0</v>
      </c>
      <c r="F52" s="238">
        <f>E52*'Dados auxiliares'!$H$108</f>
        <v>0</v>
      </c>
      <c r="G52" s="590"/>
      <c r="H52" s="550" t="e">
        <f t="shared" si="6"/>
        <v>#DIV/0!</v>
      </c>
      <c r="I52" s="550" t="e">
        <f t="shared" si="7"/>
        <v>#DIV/0!</v>
      </c>
      <c r="J52" s="550" t="e">
        <f t="shared" si="8"/>
        <v>#DIV/0!</v>
      </c>
    </row>
    <row r="53" spans="2:10" ht="15.75" customHeight="1" x14ac:dyDescent="0.25">
      <c r="B53" s="273" t="s">
        <v>372</v>
      </c>
      <c r="C53" s="273" t="s">
        <v>57</v>
      </c>
      <c r="D53" s="232"/>
      <c r="E53" s="237">
        <f>CombAlterHEFA!D78</f>
        <v>0</v>
      </c>
      <c r="F53" s="238">
        <f>E53*'Dados auxiliares'!$H$109</f>
        <v>0</v>
      </c>
      <c r="G53" s="590"/>
      <c r="H53" s="550" t="e">
        <f t="shared" si="6"/>
        <v>#DIV/0!</v>
      </c>
      <c r="I53" s="550" t="e">
        <f t="shared" si="7"/>
        <v>#DIV/0!</v>
      </c>
      <c r="J53" s="550" t="e">
        <f t="shared" si="8"/>
        <v>#DIV/0!</v>
      </c>
    </row>
    <row r="54" spans="2:10" ht="15.75" customHeight="1" x14ac:dyDescent="0.25">
      <c r="B54" s="273" t="s">
        <v>373</v>
      </c>
      <c r="C54" s="273" t="s">
        <v>57</v>
      </c>
      <c r="D54" s="232"/>
      <c r="E54" s="237">
        <f>CombAlterHEFA!D79</f>
        <v>0</v>
      </c>
      <c r="F54" s="238">
        <f>E54*'Dados auxiliares'!$H$110</f>
        <v>0</v>
      </c>
      <c r="G54" s="590"/>
      <c r="H54" s="550" t="e">
        <f t="shared" si="6"/>
        <v>#DIV/0!</v>
      </c>
      <c r="I54" s="550" t="e">
        <f t="shared" si="7"/>
        <v>#DIV/0!</v>
      </c>
      <c r="J54" s="550" t="e">
        <f t="shared" si="8"/>
        <v>#DIV/0!</v>
      </c>
    </row>
    <row r="55" spans="2:10" ht="15.75" customHeight="1" x14ac:dyDescent="0.25">
      <c r="B55" s="273" t="s">
        <v>374</v>
      </c>
      <c r="C55" s="273" t="s">
        <v>57</v>
      </c>
      <c r="D55" s="232"/>
      <c r="E55" s="237">
        <f>CombAlterHEFA!D80</f>
        <v>0</v>
      </c>
      <c r="F55" s="238">
        <f>E55*'Dados auxiliares'!$H$111</f>
        <v>0</v>
      </c>
      <c r="G55" s="590"/>
      <c r="H55" s="550" t="e">
        <f t="shared" si="6"/>
        <v>#DIV/0!</v>
      </c>
      <c r="I55" s="550" t="e">
        <f t="shared" si="7"/>
        <v>#DIV/0!</v>
      </c>
      <c r="J55" s="550" t="e">
        <f t="shared" si="8"/>
        <v>#DIV/0!</v>
      </c>
    </row>
    <row r="56" spans="2:10" ht="18" x14ac:dyDescent="0.25">
      <c r="B56" s="281" t="s">
        <v>52</v>
      </c>
      <c r="C56" s="306"/>
      <c r="D56" s="306" t="s">
        <v>51</v>
      </c>
      <c r="E56" s="306" t="s">
        <v>549</v>
      </c>
      <c r="F56" s="283" t="s">
        <v>550</v>
      </c>
      <c r="G56" s="272"/>
      <c r="H56" s="283" t="s">
        <v>535</v>
      </c>
      <c r="I56" s="283" t="s">
        <v>535</v>
      </c>
      <c r="J56" s="283" t="s">
        <v>535</v>
      </c>
    </row>
    <row r="57" spans="2:10" ht="18" x14ac:dyDescent="0.25">
      <c r="B57" s="273" t="s">
        <v>567</v>
      </c>
      <c r="C57" s="273" t="s">
        <v>1</v>
      </c>
      <c r="D57" s="237" t="e">
        <f>'_Emissões Agrícolas'!$K$54</f>
        <v>#DIV/0!</v>
      </c>
      <c r="E57" s="237" t="e">
        <f>D57*$E$16</f>
        <v>#DIV/0!</v>
      </c>
      <c r="F57" s="238" t="e">
        <f>E57*1000*'Dados auxiliares'!$D$9</f>
        <v>#DIV/0!</v>
      </c>
      <c r="G57" s="590"/>
      <c r="H57" s="550" t="e">
        <f t="shared" ref="H57:H67" si="9">(((F57*$F$76)/$D$76)*1000*$F$130)/$E$130</f>
        <v>#DIV/0!</v>
      </c>
      <c r="I57" s="550" t="e">
        <f t="shared" ref="I57:I67" si="10">(((F57*$F$76)/$D$76)*1000*$F$131)/$E$131</f>
        <v>#DIV/0!</v>
      </c>
      <c r="J57" s="550" t="e">
        <f t="shared" ref="J57:J67" si="11">(((F57*$F$76)/$D$76)*1000*$F$132)/$E$132</f>
        <v>#DIV/0!</v>
      </c>
    </row>
    <row r="58" spans="2:10" ht="18" x14ac:dyDescent="0.25">
      <c r="B58" s="273" t="s">
        <v>568</v>
      </c>
      <c r="C58" s="273" t="s">
        <v>1</v>
      </c>
      <c r="D58" s="237" t="e">
        <f>'_Emissões Agrícolas'!$K$58</f>
        <v>#DIV/0!</v>
      </c>
      <c r="E58" s="237" t="e">
        <f t="shared" ref="E58:E59" si="12">D58*$E$16</f>
        <v>#DIV/0!</v>
      </c>
      <c r="F58" s="238" t="e">
        <f>E58*1000*'Dados auxiliares'!$D$9</f>
        <v>#DIV/0!</v>
      </c>
      <c r="G58" s="590"/>
      <c r="H58" s="550" t="e">
        <f t="shared" si="9"/>
        <v>#DIV/0!</v>
      </c>
      <c r="I58" s="550" t="e">
        <f t="shared" si="10"/>
        <v>#DIV/0!</v>
      </c>
      <c r="J58" s="550" t="e">
        <f t="shared" si="11"/>
        <v>#DIV/0!</v>
      </c>
    </row>
    <row r="59" spans="2:10" ht="18" x14ac:dyDescent="0.25">
      <c r="B59" s="273" t="s">
        <v>569</v>
      </c>
      <c r="C59" s="273" t="s">
        <v>1</v>
      </c>
      <c r="D59" s="237" t="e">
        <f>'_Emissões Agrícolas'!$K$62</f>
        <v>#DIV/0!</v>
      </c>
      <c r="E59" s="237" t="e">
        <f t="shared" si="12"/>
        <v>#DIV/0!</v>
      </c>
      <c r="F59" s="238" t="e">
        <f>E59*1000*'Dados auxiliares'!$D$9</f>
        <v>#DIV/0!</v>
      </c>
      <c r="G59" s="590"/>
      <c r="H59" s="550" t="e">
        <f t="shared" si="9"/>
        <v>#DIV/0!</v>
      </c>
      <c r="I59" s="550" t="e">
        <f t="shared" si="10"/>
        <v>#DIV/0!</v>
      </c>
      <c r="J59" s="550" t="e">
        <f t="shared" si="11"/>
        <v>#DIV/0!</v>
      </c>
    </row>
    <row r="60" spans="2:10" ht="18" x14ac:dyDescent="0.25">
      <c r="B60" s="273" t="s">
        <v>438</v>
      </c>
      <c r="C60" s="273" t="s">
        <v>1</v>
      </c>
      <c r="D60" s="237"/>
      <c r="E60" s="237">
        <f>$E$20*'_Emissões Agrícolas'!$E$79+$E$21*'_Emissões Agrícolas'!$E$80</f>
        <v>0</v>
      </c>
      <c r="F60" s="238">
        <f>E60*1000</f>
        <v>0</v>
      </c>
      <c r="G60" s="590"/>
      <c r="H60" s="550" t="e">
        <f t="shared" si="9"/>
        <v>#DIV/0!</v>
      </c>
      <c r="I60" s="550" t="e">
        <f t="shared" si="10"/>
        <v>#DIV/0!</v>
      </c>
      <c r="J60" s="550" t="e">
        <f t="shared" si="11"/>
        <v>#DIV/0!</v>
      </c>
    </row>
    <row r="61" spans="2:10" ht="18" x14ac:dyDescent="0.25">
      <c r="B61" s="273" t="s">
        <v>439</v>
      </c>
      <c r="C61" s="273" t="s">
        <v>1</v>
      </c>
      <c r="D61" s="237"/>
      <c r="E61" s="237">
        <f>$E$23*'_Emissões Agrícolas'!$E$81</f>
        <v>0</v>
      </c>
      <c r="F61" s="238">
        <f>E61*1000</f>
        <v>0</v>
      </c>
      <c r="G61" s="590"/>
      <c r="H61" s="550" t="e">
        <f t="shared" si="9"/>
        <v>#DIV/0!</v>
      </c>
      <c r="I61" s="550" t="e">
        <f t="shared" si="10"/>
        <v>#DIV/0!</v>
      </c>
      <c r="J61" s="550" t="e">
        <f t="shared" si="11"/>
        <v>#DIV/0!</v>
      </c>
    </row>
    <row r="62" spans="2:10" x14ac:dyDescent="0.25">
      <c r="B62" s="273" t="s">
        <v>437</v>
      </c>
      <c r="C62" s="273" t="s">
        <v>1</v>
      </c>
      <c r="D62" s="237"/>
      <c r="E62" s="237">
        <f>$E$45*'FE''s queima combustíveis'!$I$64/1000</f>
        <v>0</v>
      </c>
      <c r="F62" s="238">
        <f>E62*1000</f>
        <v>0</v>
      </c>
      <c r="G62" s="590"/>
      <c r="H62" s="550" t="e">
        <f t="shared" si="9"/>
        <v>#DIV/0!</v>
      </c>
      <c r="I62" s="550" t="e">
        <f t="shared" si="10"/>
        <v>#DIV/0!</v>
      </c>
      <c r="J62" s="550" t="e">
        <f t="shared" si="11"/>
        <v>#DIV/0!</v>
      </c>
    </row>
    <row r="63" spans="2:10" x14ac:dyDescent="0.25">
      <c r="B63" s="273" t="s">
        <v>443</v>
      </c>
      <c r="C63" s="273" t="s">
        <v>1</v>
      </c>
      <c r="D63" s="237"/>
      <c r="E63" s="237">
        <f>$E$46*'FE''s queima combustíveis'!$I$65/1000</f>
        <v>0</v>
      </c>
      <c r="F63" s="238">
        <f t="shared" ref="F63:F67" si="13">E63*1000</f>
        <v>0</v>
      </c>
      <c r="G63" s="590"/>
      <c r="H63" s="550" t="e">
        <f t="shared" si="9"/>
        <v>#DIV/0!</v>
      </c>
      <c r="I63" s="550" t="e">
        <f t="shared" si="10"/>
        <v>#DIV/0!</v>
      </c>
      <c r="J63" s="550" t="e">
        <f t="shared" si="11"/>
        <v>#DIV/0!</v>
      </c>
    </row>
    <row r="64" spans="2:10" x14ac:dyDescent="0.25">
      <c r="B64" s="273" t="s">
        <v>492</v>
      </c>
      <c r="C64" s="273" t="s">
        <v>1</v>
      </c>
      <c r="D64" s="237"/>
      <c r="E64" s="237">
        <f>$E$47*'FE''s queima combustíveis'!$I$9/1000</f>
        <v>0</v>
      </c>
      <c r="F64" s="238">
        <f t="shared" si="13"/>
        <v>0</v>
      </c>
      <c r="G64" s="590"/>
      <c r="H64" s="550" t="e">
        <f t="shared" si="9"/>
        <v>#DIV/0!</v>
      </c>
      <c r="I64" s="550" t="e">
        <f t="shared" si="10"/>
        <v>#DIV/0!</v>
      </c>
      <c r="J64" s="550" t="e">
        <f t="shared" si="11"/>
        <v>#DIV/0!</v>
      </c>
    </row>
    <row r="65" spans="2:104" x14ac:dyDescent="0.25">
      <c r="B65" s="273" t="s">
        <v>493</v>
      </c>
      <c r="C65" s="273" t="s">
        <v>1</v>
      </c>
      <c r="D65" s="237"/>
      <c r="E65" s="237">
        <f>$E$48*'FE''s queima combustíveis'!$I$7/1000</f>
        <v>0</v>
      </c>
      <c r="F65" s="238">
        <f t="shared" si="13"/>
        <v>0</v>
      </c>
      <c r="G65" s="590"/>
      <c r="H65" s="550" t="e">
        <f t="shared" si="9"/>
        <v>#DIV/0!</v>
      </c>
      <c r="I65" s="550" t="e">
        <f t="shared" si="10"/>
        <v>#DIV/0!</v>
      </c>
      <c r="J65" s="550" t="e">
        <f t="shared" si="11"/>
        <v>#DIV/0!</v>
      </c>
    </row>
    <row r="66" spans="2:104" x14ac:dyDescent="0.25">
      <c r="B66" s="273" t="s">
        <v>494</v>
      </c>
      <c r="C66" s="273" t="s">
        <v>1</v>
      </c>
      <c r="D66" s="237"/>
      <c r="E66" s="237">
        <f>$E$49*'FE''s queima combustíveis'!$I$8/1000</f>
        <v>0</v>
      </c>
      <c r="F66" s="238">
        <f t="shared" si="13"/>
        <v>0</v>
      </c>
      <c r="G66" s="590"/>
      <c r="H66" s="550" t="e">
        <f t="shared" si="9"/>
        <v>#DIV/0!</v>
      </c>
      <c r="I66" s="550" t="e">
        <f t="shared" si="10"/>
        <v>#DIV/0!</v>
      </c>
      <c r="J66" s="550" t="e">
        <f t="shared" si="11"/>
        <v>#DIV/0!</v>
      </c>
    </row>
    <row r="67" spans="2:104" x14ac:dyDescent="0.25">
      <c r="B67" s="273" t="s">
        <v>444</v>
      </c>
      <c r="C67" s="273" t="s">
        <v>1</v>
      </c>
      <c r="D67" s="237"/>
      <c r="E67" s="237">
        <f>($E$50+CombAlterHEFA!$D$75)*'FE''s queima combustíveis'!$I$66/1000</f>
        <v>0</v>
      </c>
      <c r="F67" s="238">
        <f t="shared" si="13"/>
        <v>0</v>
      </c>
      <c r="G67" s="590"/>
      <c r="H67" s="550" t="e">
        <f t="shared" si="9"/>
        <v>#DIV/0!</v>
      </c>
      <c r="I67" s="550" t="e">
        <f t="shared" si="10"/>
        <v>#DIV/0!</v>
      </c>
      <c r="J67" s="550" t="e">
        <f t="shared" si="11"/>
        <v>#DIV/0!</v>
      </c>
    </row>
    <row r="68" spans="2:104" ht="6" customHeight="1" x14ac:dyDescent="0.25">
      <c r="B68" s="316"/>
      <c r="C68" s="317"/>
      <c r="D68" s="317"/>
      <c r="E68" s="318"/>
      <c r="F68" s="317"/>
      <c r="G68" s="317"/>
      <c r="H68" s="341"/>
      <c r="I68" s="328"/>
      <c r="J68" s="317"/>
    </row>
    <row r="69" spans="2:104" ht="18" x14ac:dyDescent="0.25">
      <c r="B69" s="276" t="s">
        <v>54</v>
      </c>
      <c r="C69" s="274" t="s">
        <v>547</v>
      </c>
      <c r="D69" s="274"/>
      <c r="E69" s="275"/>
      <c r="F69" s="290" t="e">
        <f>SUM(F57:F67)</f>
        <v>#DIV/0!</v>
      </c>
      <c r="G69" s="597"/>
      <c r="H69" s="290" t="e">
        <f>(((F69*$F$76)/$D$76)*1000*$F$130)/$E$130</f>
        <v>#DIV/0!</v>
      </c>
      <c r="I69" s="290" t="e">
        <f>(((F69*$F$76)/$D$76)*1000*$F$131)/$E$131</f>
        <v>#DIV/0!</v>
      </c>
      <c r="J69" s="290" t="e">
        <f>(((F69*$F$76)/$D$76)*1000*$F$132)/$E$132</f>
        <v>#DIV/0!</v>
      </c>
    </row>
    <row r="70" spans="2:104" ht="18" x14ac:dyDescent="0.25">
      <c r="B70" s="276" t="s">
        <v>61</v>
      </c>
      <c r="C70" s="274" t="s">
        <v>547</v>
      </c>
      <c r="D70" s="274"/>
      <c r="E70" s="275"/>
      <c r="F70" s="290">
        <f>SUM(F18:F55)</f>
        <v>17538.974541627427</v>
      </c>
      <c r="G70" s="597"/>
      <c r="H70" s="290" t="e">
        <f>(((F70*$F$76)/$D$76)*1000*$F$130)/$E$130</f>
        <v>#DIV/0!</v>
      </c>
      <c r="I70" s="290" t="e">
        <f>(((F70*$F$76)/$D$76)*1000*$F$131)/$E$131</f>
        <v>#DIV/0!</v>
      </c>
      <c r="J70" s="290" t="e">
        <f>(((F70*$F$76)/$D$76)*1000*$F$132)/$E$132</f>
        <v>#DIV/0!</v>
      </c>
    </row>
    <row r="71" spans="2:104" ht="18" x14ac:dyDescent="0.25">
      <c r="B71" s="276" t="s">
        <v>55</v>
      </c>
      <c r="C71" s="274" t="s">
        <v>547</v>
      </c>
      <c r="D71" s="274"/>
      <c r="E71" s="275"/>
      <c r="F71" s="290" t="e">
        <f>F69+F70</f>
        <v>#DIV/0!</v>
      </c>
      <c r="G71" s="597"/>
      <c r="H71" s="290" t="e">
        <f>(((F71*$F$76)/$D$76)*1000*$F$130)/$E$130</f>
        <v>#DIV/0!</v>
      </c>
      <c r="I71" s="290" t="e">
        <f>(((F71*$F$76)/$D$76)*1000*$F$131)/$E$131</f>
        <v>#DIV/0!</v>
      </c>
      <c r="J71" s="290" t="e">
        <f>(((F71*$F$76)/$D$76)*1000*$F$132)/$E$132</f>
        <v>#DIV/0!</v>
      </c>
    </row>
    <row r="72" spans="2:104" x14ac:dyDescent="0.25">
      <c r="H72" s="85"/>
      <c r="I72" s="317"/>
    </row>
    <row r="73" spans="2:104" x14ac:dyDescent="0.25">
      <c r="H73" s="85"/>
      <c r="I73" s="317"/>
    </row>
    <row r="74" spans="2:104" ht="18.75" customHeight="1" x14ac:dyDescent="0.25">
      <c r="B74" s="737" t="s">
        <v>570</v>
      </c>
      <c r="C74" s="737"/>
      <c r="D74" s="737"/>
      <c r="E74" s="737"/>
      <c r="F74" s="737"/>
      <c r="G74" s="453"/>
      <c r="H74" s="740" t="s">
        <v>940</v>
      </c>
      <c r="I74" s="740" t="s">
        <v>941</v>
      </c>
      <c r="J74" s="740" t="s">
        <v>942</v>
      </c>
    </row>
    <row r="75" spans="2:104" ht="18" customHeight="1" x14ac:dyDescent="0.25">
      <c r="B75" s="279" t="s">
        <v>495</v>
      </c>
      <c r="C75" s="306" t="s">
        <v>0</v>
      </c>
      <c r="D75" s="306" t="s">
        <v>549</v>
      </c>
      <c r="E75" s="306" t="s">
        <v>29</v>
      </c>
      <c r="F75" s="306" t="s">
        <v>330</v>
      </c>
      <c r="G75" s="583"/>
      <c r="H75" s="740"/>
      <c r="I75" s="740"/>
      <c r="J75" s="740"/>
    </row>
    <row r="76" spans="2:104" ht="15" customHeight="1" x14ac:dyDescent="0.25">
      <c r="B76" s="273" t="s">
        <v>50</v>
      </c>
      <c r="C76" s="273" t="s">
        <v>1</v>
      </c>
      <c r="D76" s="294">
        <f>CombAlterHEFA!D87</f>
        <v>0</v>
      </c>
      <c r="E76" s="294">
        <f>D76*'Dados auxiliares'!$D$42</f>
        <v>0</v>
      </c>
      <c r="F76" s="258" t="e">
        <f>E76/SUM($E$76:$E$77)</f>
        <v>#DIV/0!</v>
      </c>
      <c r="G76" s="585"/>
      <c r="H76" s="740"/>
      <c r="I76" s="740"/>
      <c r="J76" s="740"/>
    </row>
    <row r="77" spans="2:104" ht="15" customHeight="1" x14ac:dyDescent="0.25">
      <c r="B77" s="273" t="s">
        <v>116</v>
      </c>
      <c r="C77" s="273" t="s">
        <v>1</v>
      </c>
      <c r="D77" s="294">
        <f>CombAlterHEFA!D88</f>
        <v>0</v>
      </c>
      <c r="E77" s="294">
        <f>D77*'Dados auxiliares'!$D$43</f>
        <v>0</v>
      </c>
      <c r="F77" s="258" t="e">
        <f>E77/SUM($E$76:$E$77)</f>
        <v>#DIV/0!</v>
      </c>
      <c r="G77" s="585"/>
      <c r="H77" s="740"/>
      <c r="I77" s="740"/>
      <c r="J77" s="740"/>
    </row>
    <row r="78" spans="2:104" ht="18" x14ac:dyDescent="0.25">
      <c r="B78" s="281" t="s">
        <v>58</v>
      </c>
      <c r="C78" s="306" t="s">
        <v>0</v>
      </c>
      <c r="D78" s="306" t="s">
        <v>549</v>
      </c>
      <c r="E78" s="282"/>
      <c r="F78" s="283" t="s">
        <v>550</v>
      </c>
      <c r="G78" s="272"/>
      <c r="H78" s="283" t="s">
        <v>535</v>
      </c>
      <c r="I78" s="283" t="s">
        <v>535</v>
      </c>
      <c r="J78" s="283" t="s">
        <v>535</v>
      </c>
      <c r="CB78" s="320" t="e">
        <f>(D76+D77)*F76</f>
        <v>#DIV/0!</v>
      </c>
      <c r="CC78" s="327"/>
      <c r="CD78" s="327"/>
      <c r="CE78" s="327"/>
      <c r="CF78" s="327"/>
      <c r="CG78" s="327"/>
      <c r="CH78" s="327"/>
      <c r="CI78" s="327"/>
      <c r="CJ78" s="327"/>
      <c r="CK78" s="327"/>
      <c r="CL78" s="327"/>
      <c r="CM78" s="327"/>
      <c r="CN78" s="327"/>
      <c r="CO78" s="327"/>
      <c r="CP78" s="327"/>
      <c r="CQ78" s="327"/>
      <c r="CR78" s="327"/>
      <c r="CS78" s="327"/>
      <c r="CT78" s="327"/>
      <c r="CU78" s="327"/>
      <c r="CV78" s="327"/>
      <c r="CW78" s="327"/>
      <c r="CX78" s="327"/>
      <c r="CY78" s="327"/>
      <c r="CZ78" s="327"/>
    </row>
    <row r="79" spans="2:104" x14ac:dyDescent="0.25">
      <c r="B79" s="284" t="s">
        <v>182</v>
      </c>
      <c r="C79" s="285"/>
      <c r="D79" s="285"/>
      <c r="E79" s="288"/>
      <c r="F79" s="289"/>
      <c r="G79" s="593"/>
      <c r="H79" s="289"/>
      <c r="I79" s="289"/>
      <c r="J79" s="289"/>
    </row>
    <row r="80" spans="2:104" x14ac:dyDescent="0.25">
      <c r="B80" s="273" t="s">
        <v>579</v>
      </c>
      <c r="C80" s="273" t="s">
        <v>42</v>
      </c>
      <c r="D80" s="334">
        <f>0.00004878*0.6</f>
        <v>2.9267999999999998E-5</v>
      </c>
      <c r="E80" s="259"/>
      <c r="F80" s="278">
        <f>D80*'Dados auxiliares'!$H$81</f>
        <v>9.3980387991599993E-7</v>
      </c>
      <c r="G80" s="598"/>
      <c r="H80" s="550" t="e">
        <f>(((F80*$F$76)/$D$76)*1000*$F$130)/$E$130</f>
        <v>#DIV/0!</v>
      </c>
      <c r="I80" s="550" t="e">
        <f>(((F80*$F$76)/$D$76)*1000*$F$131)/$E$131</f>
        <v>#DIV/0!</v>
      </c>
      <c r="J80" s="550" t="e">
        <f>(((F80*$F$76)/$D$76)*1000*$F$132)/$E$132</f>
        <v>#DIV/0!</v>
      </c>
    </row>
    <row r="81" spans="2:104" x14ac:dyDescent="0.25">
      <c r="B81" s="273" t="s">
        <v>156</v>
      </c>
      <c r="C81" s="273" t="s">
        <v>42</v>
      </c>
      <c r="D81" s="334">
        <f>0.00004878*0.4</f>
        <v>1.9511999999999999E-5</v>
      </c>
      <c r="E81" s="259"/>
      <c r="F81" s="278">
        <f>D81*'Dados auxiliares'!$H$80</f>
        <v>3.0850690514400005E-7</v>
      </c>
      <c r="G81" s="598"/>
      <c r="H81" s="550" t="e">
        <f>(((F81*$F$76)/$D$76)*1000*$F$130)/$E$130</f>
        <v>#DIV/0!</v>
      </c>
      <c r="I81" s="550" t="e">
        <f>(((F81*$F$76)/$D$76)*1000*$F$131)/$E$131</f>
        <v>#DIV/0!</v>
      </c>
      <c r="J81" s="550" t="e">
        <f>(((F81*$F$76)/$D$76)*1000*$F$132)/$E$132</f>
        <v>#DIV/0!</v>
      </c>
    </row>
    <row r="82" spans="2:104" x14ac:dyDescent="0.25">
      <c r="B82" s="284" t="s">
        <v>455</v>
      </c>
      <c r="C82" s="285"/>
      <c r="D82" s="285"/>
      <c r="E82" s="288"/>
      <c r="F82" s="289"/>
      <c r="G82" s="593"/>
      <c r="H82" s="289"/>
      <c r="I82" s="289"/>
      <c r="J82" s="289"/>
    </row>
    <row r="83" spans="2:104" x14ac:dyDescent="0.25">
      <c r="B83" s="273" t="s">
        <v>571</v>
      </c>
      <c r="C83" s="273" t="s">
        <v>138</v>
      </c>
      <c r="D83" s="308">
        <v>1</v>
      </c>
      <c r="E83" s="259"/>
      <c r="F83" s="294" t="e">
        <f>D83*F71</f>
        <v>#DIV/0!</v>
      </c>
      <c r="G83" s="595"/>
      <c r="H83" s="550" t="e">
        <f>(((F83*$F$76)/$D$76)*1000*$F$130)/$E$130</f>
        <v>#DIV/0!</v>
      </c>
      <c r="I83" s="550" t="e">
        <f>(((F83*$F$76)/$D$76)*1000*$F$131)/$E$131</f>
        <v>#DIV/0!</v>
      </c>
      <c r="J83" s="550" t="e">
        <f>(((F83*$F$76)/$D$76)*1000*$F$132)/$E$132</f>
        <v>#DIV/0!</v>
      </c>
      <c r="CB83" s="346" t="e">
        <f>CB78*F125</f>
        <v>#DIV/0!</v>
      </c>
      <c r="CC83" s="327" t="e">
        <f>(CB78*#REF!)/1000</f>
        <v>#DIV/0!</v>
      </c>
      <c r="CD83" s="327"/>
      <c r="CE83" s="327"/>
      <c r="CF83" s="327"/>
      <c r="CG83" s="327"/>
      <c r="CH83" s="327"/>
      <c r="CI83" s="327"/>
      <c r="CJ83" s="327"/>
      <c r="CK83" s="327"/>
      <c r="CL83" s="327"/>
      <c r="CM83" s="327"/>
      <c r="CN83" s="327"/>
      <c r="CO83" s="327"/>
      <c r="CP83" s="327"/>
      <c r="CQ83" s="327"/>
      <c r="CR83" s="327"/>
      <c r="CS83" s="327"/>
      <c r="CT83" s="327"/>
      <c r="CU83" s="327"/>
      <c r="CV83" s="327"/>
      <c r="CW83" s="327"/>
      <c r="CX83" s="327"/>
      <c r="CY83" s="327"/>
      <c r="CZ83" s="327"/>
    </row>
    <row r="84" spans="2:104" x14ac:dyDescent="0.25">
      <c r="B84" s="273" t="s">
        <v>574</v>
      </c>
      <c r="C84" s="273" t="s">
        <v>47</v>
      </c>
      <c r="D84" s="237">
        <f>D83*CombAlterHEFA!D86</f>
        <v>0</v>
      </c>
      <c r="E84" s="259"/>
      <c r="F84" s="294">
        <f>D84*'Dados auxiliares'!$H$131</f>
        <v>0</v>
      </c>
      <c r="G84" s="598"/>
      <c r="H84" s="550" t="e">
        <f>(((F84*$F$76)/$D$76)*1000*$F$130)/$E$130</f>
        <v>#DIV/0!</v>
      </c>
      <c r="I84" s="550" t="e">
        <f>(((F84*$F$76)/$D$76)*1000*$F$131)/$E$131</f>
        <v>#DIV/0!</v>
      </c>
      <c r="J84" s="550" t="e">
        <f>(((F84*$F$76)/$D$76)*1000*$F$132)/$E$132</f>
        <v>#DIV/0!</v>
      </c>
      <c r="M84" s="327"/>
      <c r="CB84" s="346"/>
      <c r="CC84" s="327"/>
      <c r="CD84" s="327"/>
      <c r="CE84" s="327"/>
      <c r="CF84" s="327"/>
      <c r="CG84" s="327"/>
      <c r="CH84" s="327"/>
      <c r="CI84" s="327"/>
      <c r="CJ84" s="327"/>
      <c r="CK84" s="327"/>
      <c r="CL84" s="327"/>
      <c r="CM84" s="327"/>
      <c r="CN84" s="327"/>
      <c r="CO84" s="327"/>
      <c r="CP84" s="327"/>
      <c r="CQ84" s="327"/>
      <c r="CR84" s="327"/>
      <c r="CS84" s="327"/>
      <c r="CT84" s="327"/>
      <c r="CU84" s="327"/>
      <c r="CV84" s="327"/>
      <c r="CW84" s="327"/>
      <c r="CX84" s="327"/>
      <c r="CY84" s="327"/>
      <c r="CZ84" s="327"/>
    </row>
    <row r="85" spans="2:104" x14ac:dyDescent="0.25">
      <c r="B85" s="273" t="s">
        <v>111</v>
      </c>
      <c r="C85" s="273" t="s">
        <v>1</v>
      </c>
      <c r="D85" s="277">
        <v>1.1000000000000001</v>
      </c>
      <c r="E85" s="259"/>
      <c r="F85" s="278">
        <f>D85*'Dados auxiliares'!$H$100</f>
        <v>339.58162909820237</v>
      </c>
      <c r="G85" s="598"/>
      <c r="H85" s="550" t="e">
        <f>(((F85*$F$76)/$D$76)*1000*$F$130)/$E$130</f>
        <v>#DIV/0!</v>
      </c>
      <c r="I85" s="550" t="e">
        <f>(((F85*$F$76)/$D$76)*1000*$F$131)/$E$131</f>
        <v>#DIV/0!</v>
      </c>
      <c r="J85" s="550" t="e">
        <f>(((F85*$F$76)/$D$76)*1000*$F$132)/$E$132</f>
        <v>#DIV/0!</v>
      </c>
      <c r="CB85" s="323"/>
      <c r="CC85" s="157"/>
      <c r="CD85" s="327"/>
      <c r="CE85" s="327"/>
      <c r="CF85" s="327"/>
      <c r="CG85" s="327"/>
      <c r="CH85" s="327"/>
      <c r="CI85" s="327"/>
      <c r="CJ85" s="327"/>
      <c r="CK85" s="327"/>
      <c r="CL85" s="327"/>
      <c r="CM85" s="327"/>
      <c r="CN85" s="327"/>
      <c r="CO85" s="327"/>
      <c r="CP85" s="327"/>
      <c r="CQ85" s="327"/>
      <c r="CR85" s="327"/>
      <c r="CS85" s="327"/>
      <c r="CT85" s="327"/>
      <c r="CU85" s="327"/>
      <c r="CV85" s="327"/>
      <c r="CW85" s="327"/>
      <c r="CX85" s="327"/>
      <c r="CY85" s="327"/>
      <c r="CZ85" s="327"/>
    </row>
    <row r="86" spans="2:104" x14ac:dyDescent="0.25">
      <c r="B86" s="273" t="s">
        <v>20</v>
      </c>
      <c r="C86" s="273" t="s">
        <v>1</v>
      </c>
      <c r="D86" s="277">
        <f>(2.34*992.3224568)/5.17</f>
        <v>449.13627638529982</v>
      </c>
      <c r="E86" s="259"/>
      <c r="F86" s="278">
        <f>D86*'Dados auxiliares'!H83</f>
        <v>3.9531054548047617</v>
      </c>
      <c r="G86" s="598"/>
      <c r="H86" s="550" t="e">
        <f>(((F86*$F$76)/$D$76)*1000*$F$130)/$E$130</f>
        <v>#DIV/0!</v>
      </c>
      <c r="I86" s="550" t="e">
        <f>(((F86*$F$76)/$D$76)*1000*$F$131)/$E$131</f>
        <v>#DIV/0!</v>
      </c>
      <c r="J86" s="550" t="e">
        <f>(((F86*$F$76)/$D$76)*1000*$F$132)/$E$132</f>
        <v>#DIV/0!</v>
      </c>
      <c r="CB86" s="327"/>
      <c r="CC86" s="327"/>
      <c r="CD86" s="327"/>
      <c r="CE86" s="327"/>
      <c r="CF86" s="327"/>
      <c r="CG86" s="327"/>
      <c r="CH86" s="327"/>
      <c r="CI86" s="327"/>
      <c r="CJ86" s="327"/>
      <c r="CK86" s="327"/>
      <c r="CL86" s="327"/>
      <c r="CM86" s="327"/>
      <c r="CN86" s="327"/>
      <c r="CO86" s="327"/>
      <c r="CP86" s="327"/>
      <c r="CQ86" s="327"/>
      <c r="CR86" s="327"/>
      <c r="CS86" s="327"/>
      <c r="CT86" s="327"/>
      <c r="CU86" s="327"/>
      <c r="CV86" s="327"/>
      <c r="CW86" s="327"/>
      <c r="CX86" s="327"/>
      <c r="CY86" s="327"/>
      <c r="CZ86" s="327"/>
    </row>
    <row r="87" spans="2:104" x14ac:dyDescent="0.25">
      <c r="B87" s="284" t="s">
        <v>243</v>
      </c>
      <c r="C87" s="285"/>
      <c r="D87" s="285"/>
      <c r="E87" s="288"/>
      <c r="F87" s="289"/>
      <c r="G87" s="593"/>
      <c r="H87" s="289"/>
      <c r="I87" s="289"/>
      <c r="J87" s="289"/>
      <c r="CB87" s="327"/>
      <c r="CC87" s="327"/>
      <c r="CD87" s="327"/>
      <c r="CE87" s="327"/>
      <c r="CF87" s="327"/>
      <c r="CG87" s="327"/>
      <c r="CH87" s="327"/>
      <c r="CI87" s="327"/>
      <c r="CJ87" s="327"/>
      <c r="CK87" s="327"/>
      <c r="CL87" s="327"/>
      <c r="CM87" s="327"/>
      <c r="CN87" s="327"/>
      <c r="CO87" s="327"/>
      <c r="CP87" s="327"/>
      <c r="CQ87" s="327"/>
      <c r="CR87" s="327"/>
      <c r="CS87" s="327"/>
      <c r="CT87" s="327"/>
      <c r="CU87" s="327"/>
      <c r="CV87" s="327"/>
      <c r="CW87" s="327"/>
      <c r="CX87" s="327"/>
      <c r="CY87" s="327"/>
      <c r="CZ87" s="327"/>
    </row>
    <row r="88" spans="2:104" x14ac:dyDescent="0.25">
      <c r="B88" s="94" t="s">
        <v>376</v>
      </c>
      <c r="C88" s="94" t="s">
        <v>57</v>
      </c>
      <c r="D88" s="619">
        <f>CombAlterHEFA!D91</f>
        <v>0</v>
      </c>
      <c r="E88" s="619"/>
      <c r="F88" s="604">
        <f>D88*'Dados auxiliares'!$H$107</f>
        <v>0</v>
      </c>
      <c r="G88" s="590"/>
      <c r="H88" s="142" t="e">
        <f t="shared" ref="H88:H107" si="14">(((F88*$F$76)/$D$76)*1000*$F$130)/$E$130</f>
        <v>#DIV/0!</v>
      </c>
      <c r="I88" s="142" t="e">
        <f t="shared" ref="I88:I107" si="15">(((F88*$F$76)/$D$76)*1000*$F$131)/$E$131</f>
        <v>#DIV/0!</v>
      </c>
      <c r="J88" s="142" t="e">
        <f t="shared" ref="J88:J107" si="16">(((F88*$F$76)/$D$76)*1000*$F$132)/$E$132</f>
        <v>#DIV/0!</v>
      </c>
      <c r="CB88" s="327"/>
      <c r="CC88" s="327"/>
      <c r="CD88" s="327"/>
      <c r="CE88" s="327"/>
      <c r="CF88" s="327"/>
      <c r="CG88" s="327"/>
      <c r="CH88" s="327"/>
      <c r="CI88" s="327"/>
      <c r="CJ88" s="327"/>
      <c r="CK88" s="327"/>
      <c r="CL88" s="327"/>
      <c r="CM88" s="327"/>
      <c r="CN88" s="327"/>
      <c r="CO88" s="327"/>
      <c r="CP88" s="327"/>
      <c r="CQ88" s="327"/>
      <c r="CR88" s="327"/>
      <c r="CS88" s="327"/>
      <c r="CT88" s="327"/>
      <c r="CU88" s="327"/>
      <c r="CV88" s="327"/>
      <c r="CW88" s="327"/>
      <c r="CX88" s="327"/>
      <c r="CY88" s="327"/>
      <c r="CZ88" s="327"/>
    </row>
    <row r="89" spans="2:104" x14ac:dyDescent="0.25">
      <c r="B89" s="94" t="s">
        <v>375</v>
      </c>
      <c r="C89" s="94" t="s">
        <v>57</v>
      </c>
      <c r="D89" s="619">
        <f>CombAlterHEFA!D92</f>
        <v>0</v>
      </c>
      <c r="E89" s="619"/>
      <c r="F89" s="604">
        <f>D89*'Dados auxiliares'!$H$108</f>
        <v>0</v>
      </c>
      <c r="G89" s="590"/>
      <c r="H89" s="142" t="e">
        <f t="shared" si="14"/>
        <v>#DIV/0!</v>
      </c>
      <c r="I89" s="142" t="e">
        <f t="shared" si="15"/>
        <v>#DIV/0!</v>
      </c>
      <c r="J89" s="142" t="e">
        <f t="shared" si="16"/>
        <v>#DIV/0!</v>
      </c>
      <c r="CB89" s="327"/>
      <c r="CC89" s="327"/>
      <c r="CD89" s="327"/>
      <c r="CE89" s="327"/>
      <c r="CF89" s="327"/>
      <c r="CG89" s="327"/>
      <c r="CH89" s="327"/>
      <c r="CI89" s="327"/>
      <c r="CJ89" s="327"/>
      <c r="CK89" s="327"/>
      <c r="CL89" s="327"/>
      <c r="CM89" s="327"/>
      <c r="CN89" s="327"/>
      <c r="CO89" s="327"/>
      <c r="CP89" s="327"/>
      <c r="CQ89" s="327"/>
      <c r="CR89" s="327"/>
      <c r="CS89" s="327"/>
      <c r="CT89" s="327"/>
      <c r="CU89" s="327"/>
      <c r="CV89" s="327"/>
      <c r="CW89" s="327"/>
      <c r="CX89" s="327"/>
      <c r="CY89" s="327"/>
      <c r="CZ89" s="327"/>
    </row>
    <row r="90" spans="2:104" x14ac:dyDescent="0.25">
      <c r="B90" s="94" t="s">
        <v>372</v>
      </c>
      <c r="C90" s="94" t="s">
        <v>57</v>
      </c>
      <c r="D90" s="619">
        <f>CombAlterHEFA!D93</f>
        <v>0</v>
      </c>
      <c r="E90" s="619"/>
      <c r="F90" s="604">
        <f>D90*'Dados auxiliares'!$H$109</f>
        <v>0</v>
      </c>
      <c r="G90" s="590"/>
      <c r="H90" s="142" t="e">
        <f t="shared" si="14"/>
        <v>#DIV/0!</v>
      </c>
      <c r="I90" s="142" t="e">
        <f t="shared" si="15"/>
        <v>#DIV/0!</v>
      </c>
      <c r="J90" s="142" t="e">
        <f t="shared" si="16"/>
        <v>#DIV/0!</v>
      </c>
      <c r="CB90" s="327"/>
      <c r="CC90" s="327"/>
      <c r="CD90" s="327"/>
      <c r="CE90" s="327"/>
      <c r="CF90" s="327"/>
      <c r="CG90" s="327"/>
      <c r="CH90" s="327"/>
      <c r="CI90" s="327"/>
      <c r="CJ90" s="327"/>
      <c r="CK90" s="327"/>
      <c r="CL90" s="327"/>
      <c r="CM90" s="327"/>
      <c r="CN90" s="327"/>
      <c r="CO90" s="327"/>
      <c r="CP90" s="327"/>
      <c r="CQ90" s="327"/>
      <c r="CR90" s="327"/>
      <c r="CS90" s="327"/>
      <c r="CT90" s="327"/>
      <c r="CU90" s="327"/>
      <c r="CV90" s="327"/>
      <c r="CW90" s="327"/>
      <c r="CX90" s="327"/>
      <c r="CY90" s="327"/>
      <c r="CZ90" s="327"/>
    </row>
    <row r="91" spans="2:104" x14ac:dyDescent="0.25">
      <c r="B91" s="94" t="s">
        <v>373</v>
      </c>
      <c r="C91" s="94" t="s">
        <v>57</v>
      </c>
      <c r="D91" s="619">
        <f>CombAlterHEFA!D94</f>
        <v>0</v>
      </c>
      <c r="E91" s="619"/>
      <c r="F91" s="604">
        <f>D91*'Dados auxiliares'!$H$110</f>
        <v>0</v>
      </c>
      <c r="G91" s="590"/>
      <c r="H91" s="142" t="e">
        <f t="shared" si="14"/>
        <v>#DIV/0!</v>
      </c>
      <c r="I91" s="142" t="e">
        <f t="shared" si="15"/>
        <v>#DIV/0!</v>
      </c>
      <c r="J91" s="142" t="e">
        <f t="shared" si="16"/>
        <v>#DIV/0!</v>
      </c>
      <c r="CB91" s="327"/>
      <c r="CC91" s="327"/>
      <c r="CD91" s="327"/>
      <c r="CE91" s="327"/>
      <c r="CF91" s="327"/>
      <c r="CG91" s="327"/>
      <c r="CH91" s="327"/>
      <c r="CI91" s="327"/>
      <c r="CJ91" s="327"/>
      <c r="CK91" s="327"/>
      <c r="CL91" s="327"/>
      <c r="CM91" s="327"/>
      <c r="CN91" s="327"/>
      <c r="CO91" s="327"/>
      <c r="CP91" s="327"/>
      <c r="CQ91" s="327"/>
      <c r="CR91" s="327"/>
      <c r="CS91" s="327"/>
      <c r="CT91" s="327"/>
      <c r="CU91" s="327"/>
      <c r="CV91" s="327"/>
      <c r="CW91" s="327"/>
      <c r="CX91" s="327"/>
      <c r="CY91" s="327"/>
      <c r="CZ91" s="327"/>
    </row>
    <row r="92" spans="2:104" x14ac:dyDescent="0.25">
      <c r="B92" s="94" t="s">
        <v>374</v>
      </c>
      <c r="C92" s="94" t="s">
        <v>57</v>
      </c>
      <c r="D92" s="619">
        <f>CombAlterHEFA!D95</f>
        <v>0</v>
      </c>
      <c r="E92" s="619"/>
      <c r="F92" s="604">
        <f>D92*'Dados auxiliares'!$H$111</f>
        <v>0</v>
      </c>
      <c r="G92" s="590"/>
      <c r="H92" s="142" t="e">
        <f t="shared" si="14"/>
        <v>#DIV/0!</v>
      </c>
      <c r="I92" s="142" t="e">
        <f t="shared" si="15"/>
        <v>#DIV/0!</v>
      </c>
      <c r="J92" s="142" t="e">
        <f t="shared" si="16"/>
        <v>#DIV/0!</v>
      </c>
      <c r="CB92" s="327"/>
      <c r="CC92" s="327"/>
      <c r="CD92" s="327"/>
      <c r="CE92" s="327"/>
      <c r="CF92" s="327"/>
      <c r="CG92" s="327"/>
      <c r="CH92" s="327"/>
      <c r="CI92" s="327"/>
      <c r="CJ92" s="327"/>
      <c r="CK92" s="327"/>
      <c r="CL92" s="327"/>
      <c r="CM92" s="327"/>
      <c r="CN92" s="327"/>
      <c r="CO92" s="327"/>
      <c r="CP92" s="327"/>
      <c r="CQ92" s="327"/>
      <c r="CR92" s="327"/>
      <c r="CS92" s="327"/>
      <c r="CT92" s="327"/>
      <c r="CU92" s="327"/>
      <c r="CV92" s="327"/>
      <c r="CW92" s="327"/>
      <c r="CX92" s="327"/>
      <c r="CY92" s="327"/>
      <c r="CZ92" s="327"/>
    </row>
    <row r="93" spans="2:104" x14ac:dyDescent="0.25">
      <c r="B93" s="94" t="s">
        <v>309</v>
      </c>
      <c r="C93" s="94" t="s">
        <v>1</v>
      </c>
      <c r="D93" s="619">
        <f>(CombAlterHEFA!$D$96*(1-0.08)+CombAlterHEFA!$D$97*(1-0.1)+CombAlterHEFA!$D$98*(1-CombAlterHEFA!$G$98)+CombAlterHEFA!$D$99*(1-0.2)+CombAlterHEFA!$D$100*(1-0.3)+CombAlterHEFA!$D$101*(1-1))*('Dados auxiliares'!$D$26)</f>
        <v>0</v>
      </c>
      <c r="E93" s="619"/>
      <c r="F93" s="604">
        <f>D93*'Dados auxiliares'!$H$116</f>
        <v>0</v>
      </c>
      <c r="G93" s="590"/>
      <c r="H93" s="142" t="e">
        <f t="shared" si="14"/>
        <v>#DIV/0!</v>
      </c>
      <c r="I93" s="142" t="e">
        <f t="shared" si="15"/>
        <v>#DIV/0!</v>
      </c>
      <c r="J93" s="142" t="e">
        <f t="shared" si="16"/>
        <v>#DIV/0!</v>
      </c>
      <c r="CB93" s="323"/>
      <c r="CC93" s="327"/>
      <c r="CD93" s="327"/>
      <c r="CE93" s="327"/>
      <c r="CF93" s="327"/>
      <c r="CG93" s="327"/>
      <c r="CH93" s="327"/>
      <c r="CI93" s="327"/>
      <c r="CJ93" s="327"/>
      <c r="CK93" s="327"/>
      <c r="CL93" s="327"/>
      <c r="CM93" s="327"/>
      <c r="CN93" s="327"/>
      <c r="CO93" s="327"/>
      <c r="CP93" s="327"/>
      <c r="CQ93" s="327"/>
      <c r="CR93" s="327"/>
      <c r="CS93" s="327"/>
      <c r="CT93" s="327"/>
      <c r="CU93" s="327"/>
      <c r="CV93" s="327"/>
      <c r="CW93" s="327"/>
      <c r="CX93" s="327"/>
      <c r="CY93" s="327"/>
      <c r="CZ93" s="327"/>
    </row>
    <row r="94" spans="2:104" x14ac:dyDescent="0.25">
      <c r="B94" s="94" t="s">
        <v>187</v>
      </c>
      <c r="C94" s="94" t="s">
        <v>1</v>
      </c>
      <c r="D94" s="619">
        <f>(CombAlterHEFA!$D$96*(0.08)+CombAlterHEFA!$D$97*(0.1)+CombAlterHEFA!$D$98*(CombAlterHEFA!$G$98)+CombAlterHEFA!$D$99*(0.2)+CombAlterHEFA!$D$100*(0.3)+CombAlterHEFA!$D$101*(1))*('Dados auxiliares'!$D$17)</f>
        <v>0</v>
      </c>
      <c r="E94" s="619"/>
      <c r="F94" s="604">
        <f>D94*'Dados auxiliares'!$H$117</f>
        <v>0</v>
      </c>
      <c r="G94" s="590"/>
      <c r="H94" s="142" t="e">
        <f t="shared" si="14"/>
        <v>#DIV/0!</v>
      </c>
      <c r="I94" s="142" t="e">
        <f t="shared" si="15"/>
        <v>#DIV/0!</v>
      </c>
      <c r="J94" s="142" t="e">
        <f t="shared" si="16"/>
        <v>#DIV/0!</v>
      </c>
      <c r="CB94" s="323"/>
      <c r="CC94" s="327"/>
      <c r="CD94" s="327"/>
      <c r="CE94" s="327"/>
      <c r="CF94" s="327"/>
      <c r="CG94" s="327"/>
      <c r="CH94" s="327"/>
      <c r="CI94" s="327"/>
      <c r="CJ94" s="327"/>
      <c r="CK94" s="327"/>
      <c r="CL94" s="327"/>
      <c r="CM94" s="327"/>
      <c r="CN94" s="327"/>
      <c r="CO94" s="327"/>
      <c r="CP94" s="327"/>
      <c r="CQ94" s="327"/>
      <c r="CR94" s="327"/>
      <c r="CS94" s="327"/>
      <c r="CT94" s="327"/>
      <c r="CU94" s="327"/>
      <c r="CV94" s="327"/>
      <c r="CW94" s="327"/>
      <c r="CX94" s="327"/>
      <c r="CY94" s="327"/>
      <c r="CZ94" s="327"/>
    </row>
    <row r="95" spans="2:104" x14ac:dyDescent="0.25">
      <c r="B95" s="94" t="s">
        <v>851</v>
      </c>
      <c r="C95" s="94" t="s">
        <v>1</v>
      </c>
      <c r="D95" s="619">
        <f>CombAlterHEFA!D102*'Dados auxiliares'!$D$30</f>
        <v>0</v>
      </c>
      <c r="E95" s="619"/>
      <c r="F95" s="604">
        <f>D95*'Dados auxiliares'!$H$126</f>
        <v>0</v>
      </c>
      <c r="G95" s="590"/>
      <c r="H95" s="142" t="e">
        <f t="shared" si="14"/>
        <v>#DIV/0!</v>
      </c>
      <c r="I95" s="142" t="e">
        <f t="shared" si="15"/>
        <v>#DIV/0!</v>
      </c>
      <c r="J95" s="142" t="e">
        <f t="shared" si="16"/>
        <v>#DIV/0!</v>
      </c>
      <c r="CB95" s="323"/>
      <c r="CC95" s="327"/>
      <c r="CD95" s="327"/>
      <c r="CE95" s="327"/>
      <c r="CF95" s="327"/>
      <c r="CG95" s="327"/>
      <c r="CH95" s="327"/>
      <c r="CI95" s="327"/>
      <c r="CJ95" s="327"/>
      <c r="CK95" s="327"/>
      <c r="CL95" s="327"/>
      <c r="CM95" s="327"/>
      <c r="CN95" s="327"/>
      <c r="CO95" s="327"/>
      <c r="CP95" s="327"/>
      <c r="CQ95" s="327"/>
      <c r="CR95" s="327"/>
      <c r="CS95" s="327"/>
      <c r="CT95" s="327"/>
      <c r="CU95" s="327"/>
      <c r="CV95" s="327"/>
      <c r="CW95" s="327"/>
      <c r="CX95" s="327"/>
      <c r="CY95" s="327"/>
      <c r="CZ95" s="327"/>
    </row>
    <row r="96" spans="2:104" x14ac:dyDescent="0.25">
      <c r="B96" s="94" t="s">
        <v>923</v>
      </c>
      <c r="C96" s="94" t="s">
        <v>169</v>
      </c>
      <c r="D96" s="619">
        <f>CombAlterHEFA!D103</f>
        <v>0</v>
      </c>
      <c r="E96" s="619"/>
      <c r="F96" s="604">
        <f>D96*CombAlterHEFA!G103*'Dados auxiliares'!$H$125</f>
        <v>0</v>
      </c>
      <c r="G96" s="590"/>
      <c r="H96" s="142" t="e">
        <f t="shared" si="14"/>
        <v>#DIV/0!</v>
      </c>
      <c r="I96" s="142" t="e">
        <f t="shared" si="15"/>
        <v>#DIV/0!</v>
      </c>
      <c r="J96" s="142" t="e">
        <f t="shared" si="16"/>
        <v>#DIV/0!</v>
      </c>
      <c r="CB96" s="323"/>
      <c r="CC96" s="327"/>
      <c r="CD96" s="327"/>
      <c r="CE96" s="327"/>
      <c r="CF96" s="327"/>
      <c r="CG96" s="327"/>
      <c r="CH96" s="327"/>
      <c r="CI96" s="327"/>
      <c r="CJ96" s="327"/>
      <c r="CK96" s="327"/>
      <c r="CL96" s="327"/>
      <c r="CM96" s="327"/>
      <c r="CN96" s="327"/>
      <c r="CO96" s="327"/>
      <c r="CP96" s="327"/>
      <c r="CQ96" s="327"/>
      <c r="CR96" s="327"/>
      <c r="CS96" s="327"/>
      <c r="CT96" s="327"/>
      <c r="CU96" s="327"/>
      <c r="CV96" s="327"/>
      <c r="CW96" s="327"/>
      <c r="CX96" s="327"/>
      <c r="CY96" s="327"/>
      <c r="CZ96" s="327"/>
    </row>
    <row r="97" spans="2:104" x14ac:dyDescent="0.25">
      <c r="B97" s="94" t="s">
        <v>572</v>
      </c>
      <c r="C97" s="94" t="s">
        <v>169</v>
      </c>
      <c r="D97" s="619">
        <f>CombAlterHEFA!D105</f>
        <v>0</v>
      </c>
      <c r="E97" s="619"/>
      <c r="F97" s="604">
        <f>D97*'Dados auxiliares'!$H$115</f>
        <v>0</v>
      </c>
      <c r="G97" s="590"/>
      <c r="H97" s="142" t="e">
        <f t="shared" si="14"/>
        <v>#DIV/0!</v>
      </c>
      <c r="I97" s="142" t="e">
        <f t="shared" si="15"/>
        <v>#DIV/0!</v>
      </c>
      <c r="J97" s="142" t="e">
        <f t="shared" si="16"/>
        <v>#DIV/0!</v>
      </c>
      <c r="CB97" s="323"/>
      <c r="CC97" s="327"/>
      <c r="CD97" s="327"/>
      <c r="CE97" s="327"/>
      <c r="CF97" s="327"/>
      <c r="CG97" s="327"/>
      <c r="CH97" s="327"/>
      <c r="CI97" s="327"/>
      <c r="CJ97" s="327"/>
      <c r="CK97" s="327"/>
      <c r="CL97" s="327"/>
      <c r="CM97" s="327"/>
      <c r="CN97" s="327"/>
      <c r="CO97" s="327"/>
      <c r="CP97" s="327"/>
      <c r="CQ97" s="327"/>
      <c r="CR97" s="327"/>
      <c r="CS97" s="327"/>
      <c r="CT97" s="327"/>
      <c r="CU97" s="327"/>
      <c r="CV97" s="327"/>
      <c r="CW97" s="327"/>
      <c r="CX97" s="327"/>
      <c r="CY97" s="327"/>
      <c r="CZ97" s="327"/>
    </row>
    <row r="98" spans="2:104" ht="18" x14ac:dyDescent="0.25">
      <c r="B98" s="94" t="s">
        <v>106</v>
      </c>
      <c r="C98" s="94" t="s">
        <v>506</v>
      </c>
      <c r="D98" s="607">
        <f>CombAlterHEFA!$D$107*(1-CombAlterHEFA!$D$108)</f>
        <v>0</v>
      </c>
      <c r="E98" s="606"/>
      <c r="F98" s="607">
        <f>D98*'Dados auxiliares'!$H$123</f>
        <v>0</v>
      </c>
      <c r="G98" s="598"/>
      <c r="H98" s="142" t="e">
        <f t="shared" si="14"/>
        <v>#DIV/0!</v>
      </c>
      <c r="I98" s="142" t="e">
        <f t="shared" si="15"/>
        <v>#DIV/0!</v>
      </c>
      <c r="J98" s="142" t="e">
        <f t="shared" si="16"/>
        <v>#DIV/0!</v>
      </c>
      <c r="CB98" s="327"/>
      <c r="CC98" s="327"/>
      <c r="CD98" s="327"/>
      <c r="CE98" s="327"/>
      <c r="CF98" s="327"/>
      <c r="CG98" s="327"/>
      <c r="CH98" s="327"/>
      <c r="CI98" s="327"/>
      <c r="CJ98" s="327"/>
      <c r="CK98" s="327"/>
      <c r="CL98" s="327"/>
      <c r="CM98" s="327"/>
      <c r="CN98" s="327"/>
      <c r="CO98" s="327"/>
      <c r="CP98" s="327"/>
      <c r="CQ98" s="327"/>
      <c r="CR98" s="327"/>
      <c r="CS98" s="327"/>
      <c r="CT98" s="327"/>
      <c r="CU98" s="327"/>
      <c r="CV98" s="327"/>
      <c r="CW98" s="327"/>
      <c r="CX98" s="327"/>
      <c r="CY98" s="327"/>
      <c r="CZ98" s="327"/>
    </row>
    <row r="99" spans="2:104" x14ac:dyDescent="0.25">
      <c r="B99" s="94" t="s">
        <v>500</v>
      </c>
      <c r="C99" s="94" t="s">
        <v>47</v>
      </c>
      <c r="D99" s="607">
        <f>((D98/1000)*CombAlterHEFA!$D$109)</f>
        <v>0</v>
      </c>
      <c r="E99" s="606"/>
      <c r="F99" s="607">
        <f>D99*'Dados auxiliares'!$H$131</f>
        <v>0</v>
      </c>
      <c r="G99" s="598"/>
      <c r="H99" s="142" t="e">
        <f t="shared" si="14"/>
        <v>#DIV/0!</v>
      </c>
      <c r="I99" s="142" t="e">
        <f t="shared" si="15"/>
        <v>#DIV/0!</v>
      </c>
      <c r="J99" s="142" t="e">
        <f t="shared" si="16"/>
        <v>#DIV/0!</v>
      </c>
      <c r="CB99" s="327"/>
      <c r="CC99" s="327"/>
      <c r="CD99" s="327"/>
      <c r="CE99" s="327"/>
      <c r="CF99" s="327"/>
      <c r="CG99" s="327"/>
      <c r="CH99" s="327"/>
      <c r="CI99" s="327"/>
      <c r="CJ99" s="327"/>
      <c r="CK99" s="327"/>
      <c r="CL99" s="327"/>
      <c r="CM99" s="327"/>
      <c r="CN99" s="327"/>
      <c r="CO99" s="327"/>
      <c r="CP99" s="327"/>
      <c r="CQ99" s="327"/>
      <c r="CR99" s="327"/>
      <c r="CS99" s="327"/>
      <c r="CT99" s="327"/>
      <c r="CU99" s="327"/>
      <c r="CV99" s="327"/>
      <c r="CW99" s="327"/>
      <c r="CX99" s="327"/>
      <c r="CY99" s="327"/>
      <c r="CZ99" s="327"/>
    </row>
    <row r="100" spans="2:104" ht="18" x14ac:dyDescent="0.25">
      <c r="B100" s="94" t="s">
        <v>347</v>
      </c>
      <c r="C100" s="94" t="s">
        <v>506</v>
      </c>
      <c r="D100" s="607">
        <f>CombAlterHEFA!$D$111*(1-CombAlterHEFA!$D$112)</f>
        <v>0</v>
      </c>
      <c r="E100" s="606"/>
      <c r="F100" s="607">
        <f>D100*'Dados auxiliares'!$H$124</f>
        <v>0</v>
      </c>
      <c r="G100" s="598"/>
      <c r="H100" s="142" t="e">
        <f t="shared" si="14"/>
        <v>#DIV/0!</v>
      </c>
      <c r="I100" s="142" t="e">
        <f t="shared" si="15"/>
        <v>#DIV/0!</v>
      </c>
      <c r="J100" s="142" t="e">
        <f t="shared" si="16"/>
        <v>#DIV/0!</v>
      </c>
      <c r="CB100" s="327"/>
      <c r="CC100" s="327"/>
      <c r="CD100" s="327"/>
      <c r="CE100" s="327"/>
      <c r="CF100" s="327"/>
      <c r="CG100" s="327"/>
      <c r="CH100" s="327"/>
      <c r="CI100" s="327"/>
      <c r="CJ100" s="327"/>
      <c r="CK100" s="327"/>
      <c r="CL100" s="327"/>
      <c r="CM100" s="327"/>
      <c r="CN100" s="327"/>
      <c r="CO100" s="327"/>
      <c r="CP100" s="327"/>
      <c r="CQ100" s="327"/>
      <c r="CR100" s="327"/>
      <c r="CS100" s="327"/>
      <c r="CT100" s="327"/>
      <c r="CU100" s="327"/>
      <c r="CV100" s="327"/>
      <c r="CW100" s="327"/>
      <c r="CX100" s="327"/>
      <c r="CY100" s="327"/>
      <c r="CZ100" s="327"/>
    </row>
    <row r="101" spans="2:104" x14ac:dyDescent="0.25">
      <c r="B101" s="94" t="s">
        <v>503</v>
      </c>
      <c r="C101" s="94" t="s">
        <v>47</v>
      </c>
      <c r="D101" s="607">
        <f>((D100/1000)*CombAlterHEFA!$D$113)</f>
        <v>0</v>
      </c>
      <c r="E101" s="606"/>
      <c r="F101" s="607">
        <f>D101*'Dados auxiliares'!$H$131</f>
        <v>0</v>
      </c>
      <c r="G101" s="598"/>
      <c r="H101" s="142" t="e">
        <f t="shared" si="14"/>
        <v>#DIV/0!</v>
      </c>
      <c r="I101" s="142" t="e">
        <f t="shared" si="15"/>
        <v>#DIV/0!</v>
      </c>
      <c r="J101" s="142" t="e">
        <f t="shared" si="16"/>
        <v>#DIV/0!</v>
      </c>
      <c r="CB101" s="327"/>
      <c r="CC101" s="327"/>
      <c r="CD101" s="327"/>
      <c r="CE101" s="327"/>
      <c r="CF101" s="327"/>
      <c r="CG101" s="327"/>
      <c r="CH101" s="327"/>
      <c r="CI101" s="327"/>
      <c r="CJ101" s="327"/>
      <c r="CK101" s="327"/>
      <c r="CL101" s="327"/>
      <c r="CM101" s="327"/>
      <c r="CN101" s="327"/>
      <c r="CO101" s="327"/>
      <c r="CP101" s="327"/>
      <c r="CQ101" s="327"/>
      <c r="CR101" s="327"/>
      <c r="CS101" s="327"/>
      <c r="CT101" s="327"/>
      <c r="CU101" s="327"/>
      <c r="CV101" s="327"/>
      <c r="CW101" s="327"/>
      <c r="CX101" s="327"/>
      <c r="CY101" s="327"/>
      <c r="CZ101" s="327"/>
    </row>
    <row r="102" spans="2:104" ht="18" x14ac:dyDescent="0.25">
      <c r="B102" s="94" t="s">
        <v>466</v>
      </c>
      <c r="C102" s="94" t="s">
        <v>506</v>
      </c>
      <c r="D102" s="607">
        <f>CombAlterHEFA!$D$115*(1-CombAlterHEFA!$D$116)</f>
        <v>0</v>
      </c>
      <c r="E102" s="606"/>
      <c r="F102" s="608">
        <v>0</v>
      </c>
      <c r="G102" s="544"/>
      <c r="H102" s="142" t="e">
        <f t="shared" si="14"/>
        <v>#DIV/0!</v>
      </c>
      <c r="I102" s="142" t="e">
        <f t="shared" si="15"/>
        <v>#DIV/0!</v>
      </c>
      <c r="J102" s="142" t="e">
        <f t="shared" si="16"/>
        <v>#DIV/0!</v>
      </c>
      <c r="CB102" s="327"/>
      <c r="CC102" s="327"/>
      <c r="CD102" s="327"/>
      <c r="CE102" s="327"/>
      <c r="CF102" s="327"/>
      <c r="CG102" s="327"/>
      <c r="CH102" s="327"/>
      <c r="CI102" s="327"/>
      <c r="CJ102" s="327"/>
      <c r="CK102" s="327"/>
      <c r="CL102" s="327"/>
      <c r="CM102" s="327"/>
      <c r="CN102" s="327"/>
      <c r="CO102" s="327"/>
      <c r="CP102" s="327"/>
      <c r="CQ102" s="327"/>
      <c r="CR102" s="327"/>
      <c r="CS102" s="327"/>
      <c r="CT102" s="327"/>
      <c r="CU102" s="327"/>
      <c r="CV102" s="327"/>
      <c r="CW102" s="327"/>
      <c r="CX102" s="327"/>
      <c r="CY102" s="327"/>
      <c r="CZ102" s="327"/>
    </row>
    <row r="103" spans="2:104" x14ac:dyDescent="0.25">
      <c r="B103" s="94" t="s">
        <v>504</v>
      </c>
      <c r="C103" s="94" t="s">
        <v>47</v>
      </c>
      <c r="D103" s="607">
        <f>((D102/1000)*CombAlterHEFA!$D$117)</f>
        <v>0</v>
      </c>
      <c r="E103" s="606"/>
      <c r="F103" s="607">
        <f>D103*'Dados auxiliares'!$H$131</f>
        <v>0</v>
      </c>
      <c r="G103" s="598"/>
      <c r="H103" s="142" t="e">
        <f t="shared" si="14"/>
        <v>#DIV/0!</v>
      </c>
      <c r="I103" s="142" t="e">
        <f t="shared" si="15"/>
        <v>#DIV/0!</v>
      </c>
      <c r="J103" s="142" t="e">
        <f t="shared" si="16"/>
        <v>#DIV/0!</v>
      </c>
      <c r="CB103" s="323"/>
      <c r="CC103" s="327"/>
      <c r="CD103" s="327"/>
      <c r="CE103" s="327"/>
      <c r="CF103" s="327"/>
      <c r="CG103" s="327"/>
      <c r="CH103" s="327"/>
      <c r="CI103" s="327"/>
      <c r="CJ103" s="327"/>
      <c r="CK103" s="327"/>
      <c r="CL103" s="327"/>
      <c r="CM103" s="327"/>
      <c r="CN103" s="327"/>
      <c r="CO103" s="327"/>
      <c r="CP103" s="327"/>
      <c r="CQ103" s="327"/>
      <c r="CR103" s="327"/>
      <c r="CS103" s="327"/>
      <c r="CT103" s="327"/>
      <c r="CU103" s="327"/>
      <c r="CV103" s="327"/>
      <c r="CW103" s="327"/>
      <c r="CX103" s="327"/>
      <c r="CY103" s="327"/>
      <c r="CZ103" s="327"/>
    </row>
    <row r="104" spans="2:104" ht="18" x14ac:dyDescent="0.25">
      <c r="B104" s="94" t="s">
        <v>575</v>
      </c>
      <c r="C104" s="94" t="s">
        <v>506</v>
      </c>
      <c r="D104" s="607">
        <f>CombAlterHEFA!$D$119*(1-CombAlterHEFA!$D$120)</f>
        <v>0</v>
      </c>
      <c r="E104" s="606"/>
      <c r="F104" s="608">
        <v>0</v>
      </c>
      <c r="G104" s="544"/>
      <c r="H104" s="142" t="e">
        <f t="shared" si="14"/>
        <v>#DIV/0!</v>
      </c>
      <c r="I104" s="142" t="e">
        <f t="shared" si="15"/>
        <v>#DIV/0!</v>
      </c>
      <c r="J104" s="142" t="e">
        <f t="shared" si="16"/>
        <v>#DIV/0!</v>
      </c>
      <c r="CB104" s="323"/>
      <c r="CC104" s="327"/>
      <c r="CD104" s="327"/>
      <c r="CE104" s="327"/>
      <c r="CF104" s="327"/>
      <c r="CG104" s="327"/>
      <c r="CH104" s="327"/>
      <c r="CI104" s="327"/>
      <c r="CJ104" s="327"/>
      <c r="CK104" s="327"/>
      <c r="CL104" s="327"/>
      <c r="CM104" s="327"/>
      <c r="CN104" s="327"/>
      <c r="CO104" s="327"/>
      <c r="CP104" s="327"/>
      <c r="CQ104" s="327"/>
      <c r="CR104" s="327"/>
      <c r="CS104" s="327"/>
      <c r="CT104" s="327"/>
      <c r="CU104" s="327"/>
      <c r="CV104" s="327"/>
      <c r="CW104" s="327"/>
      <c r="CX104" s="327"/>
      <c r="CY104" s="327"/>
      <c r="CZ104" s="327"/>
    </row>
    <row r="105" spans="2:104" x14ac:dyDescent="0.25">
      <c r="B105" s="94" t="s">
        <v>576</v>
      </c>
      <c r="C105" s="94" t="s">
        <v>47</v>
      </c>
      <c r="D105" s="607">
        <f>((D104/1000)*CombAlterHEFA!$D$121)</f>
        <v>0</v>
      </c>
      <c r="E105" s="606"/>
      <c r="F105" s="607">
        <f>D105*'Dados auxiliares'!$H$131</f>
        <v>0</v>
      </c>
      <c r="G105" s="598"/>
      <c r="H105" s="142" t="e">
        <f t="shared" si="14"/>
        <v>#DIV/0!</v>
      </c>
      <c r="I105" s="142" t="e">
        <f t="shared" si="15"/>
        <v>#DIV/0!</v>
      </c>
      <c r="J105" s="142" t="e">
        <f t="shared" si="16"/>
        <v>#DIV/0!</v>
      </c>
      <c r="CB105" s="323"/>
      <c r="CC105" s="327"/>
      <c r="CD105" s="327"/>
      <c r="CE105" s="327"/>
      <c r="CF105" s="327"/>
      <c r="CG105" s="327"/>
      <c r="CH105" s="327"/>
      <c r="CI105" s="327"/>
      <c r="CJ105" s="327"/>
      <c r="CK105" s="327"/>
      <c r="CL105" s="327"/>
      <c r="CM105" s="327"/>
      <c r="CN105" s="327"/>
      <c r="CO105" s="327"/>
      <c r="CP105" s="327"/>
      <c r="CQ105" s="327"/>
      <c r="CR105" s="327"/>
      <c r="CS105" s="327"/>
      <c r="CT105" s="327"/>
      <c r="CU105" s="327"/>
      <c r="CV105" s="327"/>
      <c r="CW105" s="327"/>
      <c r="CX105" s="327"/>
      <c r="CY105" s="327"/>
      <c r="CZ105" s="327"/>
    </row>
    <row r="106" spans="2:104" ht="18" x14ac:dyDescent="0.25">
      <c r="B106" s="94" t="s">
        <v>577</v>
      </c>
      <c r="C106" s="94" t="s">
        <v>506</v>
      </c>
      <c r="D106" s="607">
        <f>CombAlterHEFA!$D$123*(1-CombAlterHEFA!$D$124)</f>
        <v>0</v>
      </c>
      <c r="E106" s="606"/>
      <c r="F106" s="607">
        <f>D106*'Dados auxiliares'!$H$78</f>
        <v>0</v>
      </c>
      <c r="G106" s="598"/>
      <c r="H106" s="142" t="e">
        <f t="shared" si="14"/>
        <v>#DIV/0!</v>
      </c>
      <c r="I106" s="142" t="e">
        <f t="shared" si="15"/>
        <v>#DIV/0!</v>
      </c>
      <c r="J106" s="142" t="e">
        <f t="shared" si="16"/>
        <v>#DIV/0!</v>
      </c>
      <c r="CB106" s="323"/>
      <c r="CC106" s="327"/>
      <c r="CD106" s="327"/>
      <c r="CE106" s="327"/>
      <c r="CF106" s="327"/>
      <c r="CG106" s="327"/>
      <c r="CH106" s="327"/>
      <c r="CI106" s="327"/>
      <c r="CJ106" s="327"/>
      <c r="CK106" s="327"/>
      <c r="CL106" s="327"/>
      <c r="CM106" s="327"/>
      <c r="CN106" s="327"/>
      <c r="CO106" s="327"/>
      <c r="CP106" s="327"/>
      <c r="CQ106" s="327"/>
      <c r="CR106" s="327"/>
      <c r="CS106" s="327"/>
      <c r="CT106" s="327"/>
      <c r="CU106" s="327"/>
      <c r="CV106" s="327"/>
      <c r="CW106" s="327"/>
      <c r="CX106" s="327"/>
      <c r="CY106" s="327"/>
      <c r="CZ106" s="327"/>
    </row>
    <row r="107" spans="2:104" x14ac:dyDescent="0.25">
      <c r="B107" s="94" t="s">
        <v>578</v>
      </c>
      <c r="C107" s="94" t="s">
        <v>47</v>
      </c>
      <c r="D107" s="607">
        <f>((D106/1000)*CombAlterHEFA!$D$125)</f>
        <v>0</v>
      </c>
      <c r="E107" s="606"/>
      <c r="F107" s="607">
        <f>D107*'Dados auxiliares'!$H$131</f>
        <v>0</v>
      </c>
      <c r="G107" s="598"/>
      <c r="H107" s="142" t="e">
        <f t="shared" si="14"/>
        <v>#DIV/0!</v>
      </c>
      <c r="I107" s="142" t="e">
        <f t="shared" si="15"/>
        <v>#DIV/0!</v>
      </c>
      <c r="J107" s="142" t="e">
        <f t="shared" si="16"/>
        <v>#DIV/0!</v>
      </c>
      <c r="CB107" s="323"/>
      <c r="CC107" s="327"/>
      <c r="CD107" s="327"/>
      <c r="CE107" s="327"/>
      <c r="CF107" s="327"/>
      <c r="CG107" s="327"/>
      <c r="CH107" s="327"/>
      <c r="CI107" s="327"/>
      <c r="CJ107" s="327"/>
      <c r="CK107" s="327"/>
      <c r="CL107" s="327"/>
      <c r="CM107" s="327"/>
      <c r="CN107" s="327"/>
      <c r="CO107" s="327"/>
      <c r="CP107" s="327"/>
      <c r="CQ107" s="327"/>
      <c r="CR107" s="327"/>
      <c r="CS107" s="327"/>
      <c r="CT107" s="327"/>
      <c r="CU107" s="327"/>
      <c r="CV107" s="327"/>
      <c r="CW107" s="327"/>
      <c r="CX107" s="327"/>
      <c r="CY107" s="327"/>
      <c r="CZ107" s="327"/>
    </row>
    <row r="108" spans="2:104" ht="18" x14ac:dyDescent="0.25">
      <c r="B108" s="338" t="s">
        <v>52</v>
      </c>
      <c r="C108" s="306" t="s">
        <v>0</v>
      </c>
      <c r="D108" s="306" t="s">
        <v>549</v>
      </c>
      <c r="E108" s="282"/>
      <c r="F108" s="283" t="s">
        <v>550</v>
      </c>
      <c r="G108" s="272"/>
      <c r="H108" s="283" t="s">
        <v>535</v>
      </c>
      <c r="I108" s="283" t="s">
        <v>535</v>
      </c>
      <c r="J108" s="283" t="s">
        <v>535</v>
      </c>
      <c r="CB108" s="157"/>
      <c r="CC108" s="327" t="s">
        <v>241</v>
      </c>
      <c r="CD108" s="327"/>
      <c r="CE108" s="327"/>
      <c r="CF108" s="327"/>
      <c r="CG108" s="327"/>
      <c r="CH108" s="327"/>
      <c r="CI108" s="327"/>
      <c r="CJ108" s="327"/>
      <c r="CK108" s="327"/>
      <c r="CL108" s="327"/>
      <c r="CM108" s="327"/>
      <c r="CN108" s="327"/>
      <c r="CO108" s="327"/>
      <c r="CP108" s="327"/>
      <c r="CQ108" s="327"/>
      <c r="CR108" s="327"/>
      <c r="CS108" s="327"/>
      <c r="CT108" s="327"/>
      <c r="CU108" s="327"/>
      <c r="CV108" s="327"/>
      <c r="CW108" s="327"/>
      <c r="CX108" s="327"/>
      <c r="CY108" s="327"/>
      <c r="CZ108" s="327"/>
    </row>
    <row r="109" spans="2:104" x14ac:dyDescent="0.25">
      <c r="B109" s="94" t="s">
        <v>437</v>
      </c>
      <c r="C109" s="94" t="s">
        <v>1</v>
      </c>
      <c r="D109" s="607">
        <f>D93*'FE''s queima combustíveis'!$I$50/1000</f>
        <v>0</v>
      </c>
      <c r="E109" s="606"/>
      <c r="F109" s="604">
        <f t="shared" ref="F109:F119" si="17">D109*1000</f>
        <v>0</v>
      </c>
      <c r="G109" s="590"/>
      <c r="H109" s="142" t="e">
        <f>(((F109*$F$76)/$D$76)*1000*$F$130)/$E$130</f>
        <v>#DIV/0!</v>
      </c>
      <c r="I109" s="142" t="e">
        <f>(((F109*$F$76)/$D$76)*1000*$F$131)/$E$131</f>
        <v>#DIV/0!</v>
      </c>
      <c r="J109" s="142" t="e">
        <f>(((F109*$F$76)/$D$76)*1000*$F$132)/$E$132</f>
        <v>#DIV/0!</v>
      </c>
      <c r="CB109" s="157"/>
      <c r="CC109" s="327"/>
      <c r="CD109" s="327"/>
      <c r="CE109" s="327"/>
      <c r="CF109" s="327"/>
      <c r="CG109" s="327"/>
      <c r="CH109" s="327"/>
      <c r="CI109" s="327"/>
      <c r="CJ109" s="327"/>
      <c r="CK109" s="327"/>
      <c r="CL109" s="327"/>
      <c r="CM109" s="327"/>
      <c r="CN109" s="327"/>
      <c r="CO109" s="327"/>
      <c r="CP109" s="327"/>
      <c r="CQ109" s="327"/>
      <c r="CR109" s="327"/>
      <c r="CS109" s="327"/>
      <c r="CT109" s="327"/>
      <c r="CU109" s="327"/>
      <c r="CV109" s="327"/>
      <c r="CW109" s="327"/>
      <c r="CX109" s="327"/>
      <c r="CY109" s="327"/>
      <c r="CZ109" s="327"/>
    </row>
    <row r="110" spans="2:104" x14ac:dyDescent="0.25">
      <c r="B110" s="94" t="s">
        <v>443</v>
      </c>
      <c r="C110" s="94" t="s">
        <v>1</v>
      </c>
      <c r="D110" s="607">
        <f>D94*'FE''s queima combustíveis'!$I$51/1000</f>
        <v>0</v>
      </c>
      <c r="E110" s="606"/>
      <c r="F110" s="604">
        <f t="shared" si="17"/>
        <v>0</v>
      </c>
      <c r="G110" s="590"/>
      <c r="H110" s="142" t="e">
        <f>(((F110*$F$76)/$D$76)*1000*$F$130)/$E$130</f>
        <v>#DIV/0!</v>
      </c>
      <c r="I110" s="142" t="e">
        <f>(((F110*$F$76)/$D$76)*1000*$F$131)/$E$131</f>
        <v>#DIV/0!</v>
      </c>
      <c r="J110" s="142" t="e">
        <f>(((F110*$F$76)/$D$76)*1000*$F$132)/$E$132</f>
        <v>#DIV/0!</v>
      </c>
      <c r="CB110" s="157"/>
      <c r="CC110" s="327"/>
      <c r="CD110" s="327"/>
      <c r="CE110" s="327"/>
      <c r="CF110" s="327"/>
      <c r="CG110" s="327"/>
      <c r="CH110" s="327"/>
      <c r="CI110" s="327"/>
      <c r="CJ110" s="327"/>
      <c r="CK110" s="327"/>
      <c r="CL110" s="327"/>
      <c r="CM110" s="327"/>
      <c r="CN110" s="327"/>
      <c r="CO110" s="327"/>
      <c r="CP110" s="327"/>
      <c r="CQ110" s="327"/>
      <c r="CR110" s="327"/>
      <c r="CS110" s="327"/>
      <c r="CT110" s="327"/>
      <c r="CU110" s="327"/>
      <c r="CV110" s="327"/>
      <c r="CW110" s="327"/>
      <c r="CX110" s="327"/>
      <c r="CY110" s="327"/>
      <c r="CZ110" s="327"/>
    </row>
    <row r="111" spans="2:104" x14ac:dyDescent="0.25">
      <c r="B111" s="94" t="s">
        <v>848</v>
      </c>
      <c r="C111" s="94" t="s">
        <v>1</v>
      </c>
      <c r="D111" s="607">
        <f>D95*'FE''s queima combustíveis'!$I$53/1000</f>
        <v>0</v>
      </c>
      <c r="E111" s="606"/>
      <c r="F111" s="604">
        <f t="shared" ref="F111" si="18">D111*1000</f>
        <v>0</v>
      </c>
      <c r="G111" s="590"/>
      <c r="H111" s="142" t="e">
        <f>(((F111*$F$76)/$D$76)*1000*$F$130)/$E$130</f>
        <v>#DIV/0!</v>
      </c>
      <c r="I111" s="142" t="e">
        <f>(((F111*$F$76)/$D$76)*1000*$F$131)/$E$131</f>
        <v>#DIV/0!</v>
      </c>
      <c r="J111" s="142" t="e">
        <f>(((F111*$F$76)/$D$76)*1000*$F$132)/$E$132</f>
        <v>#DIV/0!</v>
      </c>
      <c r="CB111" s="157"/>
      <c r="CC111" s="327"/>
      <c r="CD111" s="327"/>
      <c r="CE111" s="327"/>
      <c r="CF111" s="327"/>
      <c r="CG111" s="327"/>
      <c r="CH111" s="327"/>
      <c r="CI111" s="327"/>
      <c r="CJ111" s="327"/>
      <c r="CK111" s="327"/>
      <c r="CL111" s="327"/>
      <c r="CM111" s="327"/>
      <c r="CN111" s="327"/>
      <c r="CO111" s="327"/>
      <c r="CP111" s="327"/>
      <c r="CQ111" s="327"/>
      <c r="CR111" s="327"/>
      <c r="CS111" s="327"/>
      <c r="CT111" s="327"/>
      <c r="CU111" s="327"/>
      <c r="CV111" s="327"/>
      <c r="CW111" s="327"/>
      <c r="CX111" s="327"/>
      <c r="CY111" s="327"/>
      <c r="CZ111" s="327"/>
    </row>
    <row r="112" spans="2:104" x14ac:dyDescent="0.25">
      <c r="B112" s="94" t="s">
        <v>926</v>
      </c>
      <c r="C112" s="94" t="s">
        <v>1</v>
      </c>
      <c r="D112" s="607">
        <f>CombAlterHEFA!D103*CombAlterHEFA!G103*'FE''s queima combustíveis'!$I$41/1000</f>
        <v>0</v>
      </c>
      <c r="E112" s="606"/>
      <c r="F112" s="604">
        <f t="shared" si="17"/>
        <v>0</v>
      </c>
      <c r="G112" s="590"/>
      <c r="H112" s="142" t="e">
        <f>(((F112*$F$76)/$D$76)*1000*$F$130)/$E$130</f>
        <v>#DIV/0!</v>
      </c>
      <c r="I112" s="142" t="e">
        <f>(((F112*$F$76)/$D$76)*1000*$F$131)/$E$131</f>
        <v>#DIV/0!</v>
      </c>
      <c r="J112" s="142" t="e">
        <f>(((F112*$F$76)/$D$76)*1000*$F$132)/$E$132</f>
        <v>#DIV/0!</v>
      </c>
      <c r="CB112" s="157"/>
      <c r="CC112" s="327"/>
      <c r="CD112" s="327"/>
      <c r="CE112" s="327"/>
      <c r="CF112" s="327"/>
      <c r="CG112" s="327"/>
      <c r="CH112" s="327"/>
      <c r="CI112" s="327"/>
      <c r="CJ112" s="327"/>
      <c r="CK112" s="327"/>
      <c r="CL112" s="327"/>
      <c r="CM112" s="327"/>
      <c r="CN112" s="327"/>
      <c r="CO112" s="327"/>
      <c r="CP112" s="327"/>
      <c r="CQ112" s="327"/>
      <c r="CR112" s="327"/>
      <c r="CS112" s="327"/>
      <c r="CT112" s="327"/>
      <c r="CU112" s="327"/>
      <c r="CV112" s="327"/>
      <c r="CW112" s="327"/>
      <c r="CX112" s="327"/>
      <c r="CY112" s="327"/>
      <c r="CZ112" s="327"/>
    </row>
    <row r="113" spans="2:104" x14ac:dyDescent="0.25">
      <c r="B113" s="94" t="s">
        <v>925</v>
      </c>
      <c r="C113" s="94" t="s">
        <v>1</v>
      </c>
      <c r="D113" s="607">
        <f>CombAlterHEFA!D104*CombAlterHEFA!G104*'FE''s queima combustíveis'!$I$41/1000</f>
        <v>0</v>
      </c>
      <c r="E113" s="606"/>
      <c r="F113" s="604">
        <f t="shared" si="17"/>
        <v>0</v>
      </c>
      <c r="G113" s="590"/>
      <c r="H113" s="142" t="e">
        <f t="shared" ref="H113" si="19">(((F113*$F$76)/$D$76)*1000*$F$130)/$E$130</f>
        <v>#DIV/0!</v>
      </c>
      <c r="I113" s="142" t="e">
        <f t="shared" ref="I113" si="20">(((F113*$F$76)/$D$76)*1000*$F$131)/$E$131</f>
        <v>#DIV/0!</v>
      </c>
      <c r="J113" s="142" t="e">
        <f t="shared" ref="J113" si="21">(((F113*$F$76)/$D$76)*1000*$F$132)/$E$132</f>
        <v>#DIV/0!</v>
      </c>
      <c r="CB113" s="157"/>
      <c r="CC113" s="327"/>
      <c r="CD113" s="327"/>
      <c r="CE113" s="327"/>
      <c r="CF113" s="327"/>
      <c r="CG113" s="327"/>
      <c r="CH113" s="327"/>
      <c r="CI113" s="327"/>
      <c r="CJ113" s="327"/>
      <c r="CK113" s="327"/>
      <c r="CL113" s="327"/>
      <c r="CM113" s="327"/>
      <c r="CN113" s="327"/>
      <c r="CO113" s="327"/>
      <c r="CP113" s="327"/>
      <c r="CQ113" s="327"/>
      <c r="CR113" s="327"/>
      <c r="CS113" s="327"/>
      <c r="CT113" s="327"/>
      <c r="CU113" s="327"/>
      <c r="CV113" s="327"/>
      <c r="CW113" s="327"/>
      <c r="CX113" s="327"/>
      <c r="CY113" s="327"/>
      <c r="CZ113" s="327"/>
    </row>
    <row r="114" spans="2:104" x14ac:dyDescent="0.25">
      <c r="B114" s="94" t="s">
        <v>581</v>
      </c>
      <c r="C114" s="94" t="s">
        <v>1</v>
      </c>
      <c r="D114" s="607">
        <f>D97*'FE''s queima combustíveis'!$I$46*('Dados auxiliares'!$D$27/1000)/1000</f>
        <v>0</v>
      </c>
      <c r="E114" s="606"/>
      <c r="F114" s="604">
        <f t="shared" si="17"/>
        <v>0</v>
      </c>
      <c r="G114" s="590"/>
      <c r="H114" s="142" t="e">
        <f t="shared" ref="H114:H119" si="22">(((F114*$F$76)/$D$76)*1000*$F$130)/$E$130</f>
        <v>#DIV/0!</v>
      </c>
      <c r="I114" s="142" t="e">
        <f t="shared" ref="I114:I119" si="23">(((F114*$F$76)/$D$76)*1000*$F$131)/$E$131</f>
        <v>#DIV/0!</v>
      </c>
      <c r="J114" s="142" t="e">
        <f t="shared" ref="J114:J119" si="24">(((F114*$F$76)/$D$76)*1000*$F$132)/$E$132</f>
        <v>#DIV/0!</v>
      </c>
      <c r="CB114" s="157"/>
      <c r="CC114" s="327"/>
      <c r="CD114" s="327"/>
      <c r="CE114" s="327"/>
      <c r="CF114" s="327"/>
      <c r="CG114" s="327"/>
      <c r="CH114" s="327"/>
      <c r="CI114" s="327"/>
      <c r="CJ114" s="327"/>
      <c r="CK114" s="327"/>
      <c r="CL114" s="327"/>
      <c r="CM114" s="327"/>
      <c r="CN114" s="327"/>
      <c r="CO114" s="327"/>
      <c r="CP114" s="327"/>
      <c r="CQ114" s="327"/>
      <c r="CR114" s="327"/>
      <c r="CS114" s="327"/>
      <c r="CT114" s="327"/>
      <c r="CU114" s="327"/>
      <c r="CV114" s="327"/>
      <c r="CW114" s="327"/>
      <c r="CX114" s="327"/>
      <c r="CY114" s="327"/>
      <c r="CZ114" s="327"/>
    </row>
    <row r="115" spans="2:104" x14ac:dyDescent="0.25">
      <c r="B115" s="94" t="s">
        <v>582</v>
      </c>
      <c r="C115" s="94" t="s">
        <v>1</v>
      </c>
      <c r="D115" s="607">
        <f>D104*'FE''s queima combustíveis'!$I$36/1000</f>
        <v>0</v>
      </c>
      <c r="E115" s="606"/>
      <c r="F115" s="604">
        <f t="shared" si="17"/>
        <v>0</v>
      </c>
      <c r="G115" s="590"/>
      <c r="H115" s="142" t="e">
        <f t="shared" si="22"/>
        <v>#DIV/0!</v>
      </c>
      <c r="I115" s="142" t="e">
        <f t="shared" si="23"/>
        <v>#DIV/0!</v>
      </c>
      <c r="J115" s="142" t="e">
        <f t="shared" si="24"/>
        <v>#DIV/0!</v>
      </c>
      <c r="CB115" s="157"/>
      <c r="CC115" s="327"/>
      <c r="CD115" s="327"/>
      <c r="CE115" s="327"/>
      <c r="CF115" s="327"/>
      <c r="CG115" s="327"/>
      <c r="CH115" s="327"/>
      <c r="CI115" s="327"/>
      <c r="CJ115" s="327"/>
      <c r="CK115" s="327"/>
      <c r="CL115" s="327"/>
      <c r="CM115" s="327"/>
      <c r="CN115" s="327"/>
      <c r="CO115" s="327"/>
      <c r="CP115" s="327"/>
      <c r="CQ115" s="327"/>
      <c r="CR115" s="327"/>
      <c r="CS115" s="327"/>
      <c r="CT115" s="327"/>
      <c r="CU115" s="327"/>
      <c r="CV115" s="327"/>
      <c r="CW115" s="327"/>
      <c r="CX115" s="327"/>
      <c r="CY115" s="327"/>
      <c r="CZ115" s="327"/>
    </row>
    <row r="116" spans="2:104" x14ac:dyDescent="0.25">
      <c r="B116" s="94" t="s">
        <v>583</v>
      </c>
      <c r="C116" s="94" t="s">
        <v>1</v>
      </c>
      <c r="D116" s="607">
        <f>D106*'FE''s queima combustíveis'!$I$37/1000</f>
        <v>0</v>
      </c>
      <c r="E116" s="606"/>
      <c r="F116" s="604">
        <f t="shared" si="17"/>
        <v>0</v>
      </c>
      <c r="G116" s="590"/>
      <c r="H116" s="142" t="e">
        <f t="shared" si="22"/>
        <v>#DIV/0!</v>
      </c>
      <c r="I116" s="142" t="e">
        <f t="shared" si="23"/>
        <v>#DIV/0!</v>
      </c>
      <c r="J116" s="142" t="e">
        <f t="shared" si="24"/>
        <v>#DIV/0!</v>
      </c>
      <c r="CB116" s="157"/>
      <c r="CC116" s="327"/>
      <c r="CD116" s="327"/>
      <c r="CE116" s="327"/>
      <c r="CF116" s="327"/>
      <c r="CG116" s="327"/>
      <c r="CH116" s="327"/>
      <c r="CI116" s="327"/>
      <c r="CJ116" s="327"/>
      <c r="CK116" s="327"/>
      <c r="CL116" s="327"/>
      <c r="CM116" s="327"/>
      <c r="CN116" s="327"/>
      <c r="CO116" s="327"/>
      <c r="CP116" s="327"/>
      <c r="CQ116" s="327"/>
      <c r="CR116" s="327"/>
      <c r="CS116" s="327"/>
      <c r="CT116" s="327"/>
      <c r="CU116" s="327"/>
      <c r="CV116" s="327"/>
      <c r="CW116" s="327"/>
      <c r="CX116" s="327"/>
      <c r="CY116" s="327"/>
      <c r="CZ116" s="327"/>
    </row>
    <row r="117" spans="2:104" x14ac:dyDescent="0.25">
      <c r="B117" s="94" t="s">
        <v>520</v>
      </c>
      <c r="C117" s="94" t="s">
        <v>1</v>
      </c>
      <c r="D117" s="607">
        <f>D98*'FE''s queima combustíveis'!$I$38/1000</f>
        <v>0</v>
      </c>
      <c r="E117" s="606"/>
      <c r="F117" s="604">
        <f t="shared" si="17"/>
        <v>0</v>
      </c>
      <c r="G117" s="590"/>
      <c r="H117" s="142" t="e">
        <f t="shared" si="22"/>
        <v>#DIV/0!</v>
      </c>
      <c r="I117" s="142" t="e">
        <f t="shared" si="23"/>
        <v>#DIV/0!</v>
      </c>
      <c r="J117" s="142" t="e">
        <f t="shared" si="24"/>
        <v>#DIV/0!</v>
      </c>
      <c r="CB117" s="157"/>
      <c r="CC117" s="327"/>
      <c r="CD117" s="327"/>
      <c r="CE117" s="327"/>
      <c r="CF117" s="327"/>
      <c r="CG117" s="327"/>
      <c r="CH117" s="327"/>
      <c r="CI117" s="327"/>
      <c r="CJ117" s="327"/>
      <c r="CK117" s="327"/>
      <c r="CL117" s="327"/>
      <c r="CM117" s="327"/>
      <c r="CN117" s="327"/>
      <c r="CO117" s="327"/>
      <c r="CP117" s="327"/>
      <c r="CQ117" s="327"/>
      <c r="CR117" s="327"/>
      <c r="CS117" s="327"/>
      <c r="CT117" s="327"/>
      <c r="CU117" s="327"/>
      <c r="CV117" s="327"/>
      <c r="CW117" s="327"/>
      <c r="CX117" s="327"/>
      <c r="CY117" s="327"/>
      <c r="CZ117" s="327"/>
    </row>
    <row r="118" spans="2:104" x14ac:dyDescent="0.25">
      <c r="B118" s="94" t="s">
        <v>518</v>
      </c>
      <c r="C118" s="94" t="s">
        <v>1</v>
      </c>
      <c r="D118" s="607">
        <f>D100*'FE''s queima combustíveis'!$I$39/1000</f>
        <v>0</v>
      </c>
      <c r="E118" s="606"/>
      <c r="F118" s="604">
        <f t="shared" si="17"/>
        <v>0</v>
      </c>
      <c r="G118" s="590"/>
      <c r="H118" s="142" t="e">
        <f t="shared" si="22"/>
        <v>#DIV/0!</v>
      </c>
      <c r="I118" s="142" t="e">
        <f t="shared" si="23"/>
        <v>#DIV/0!</v>
      </c>
      <c r="J118" s="142" t="e">
        <f t="shared" si="24"/>
        <v>#DIV/0!</v>
      </c>
    </row>
    <row r="119" spans="2:104" x14ac:dyDescent="0.25">
      <c r="B119" s="94" t="s">
        <v>519</v>
      </c>
      <c r="C119" s="94" t="s">
        <v>1</v>
      </c>
      <c r="D119" s="607">
        <f>D102*'FE''s queima combustíveis'!$I$40/1000</f>
        <v>0</v>
      </c>
      <c r="E119" s="606"/>
      <c r="F119" s="604">
        <f t="shared" si="17"/>
        <v>0</v>
      </c>
      <c r="G119" s="590"/>
      <c r="H119" s="142" t="e">
        <f t="shared" si="22"/>
        <v>#DIV/0!</v>
      </c>
      <c r="I119" s="142" t="e">
        <f t="shared" si="23"/>
        <v>#DIV/0!</v>
      </c>
      <c r="J119" s="142" t="e">
        <f t="shared" si="24"/>
        <v>#DIV/0!</v>
      </c>
      <c r="CB119" s="157"/>
      <c r="CC119" s="327"/>
      <c r="CD119" s="327"/>
      <c r="CE119" s="327"/>
      <c r="CF119" s="327"/>
      <c r="CG119" s="327"/>
      <c r="CH119" s="327"/>
      <c r="CI119" s="327"/>
      <c r="CJ119" s="327"/>
      <c r="CK119" s="327"/>
      <c r="CL119" s="327"/>
      <c r="CM119" s="327"/>
      <c r="CN119" s="327"/>
      <c r="CO119" s="327"/>
      <c r="CP119" s="327"/>
      <c r="CQ119" s="327"/>
      <c r="CR119" s="327"/>
      <c r="CS119" s="327"/>
      <c r="CT119" s="327"/>
      <c r="CU119" s="327"/>
      <c r="CV119" s="327"/>
      <c r="CW119" s="327"/>
      <c r="CX119" s="327"/>
      <c r="CY119" s="327"/>
      <c r="CZ119" s="327"/>
    </row>
    <row r="120" spans="2:104" ht="6" customHeight="1" x14ac:dyDescent="0.25">
      <c r="B120" s="324"/>
      <c r="C120" s="324"/>
      <c r="D120" s="88"/>
      <c r="E120" s="88"/>
      <c r="F120" s="325"/>
      <c r="G120" s="325"/>
      <c r="H120" s="340"/>
      <c r="CB120" s="323"/>
      <c r="CC120" s="327"/>
      <c r="CD120" s="327"/>
      <c r="CE120" s="327"/>
      <c r="CF120" s="327"/>
      <c r="CG120" s="327"/>
      <c r="CH120" s="327"/>
      <c r="CI120" s="327"/>
      <c r="CJ120" s="327"/>
      <c r="CK120" s="327"/>
      <c r="CL120" s="327"/>
      <c r="CM120" s="327"/>
      <c r="CN120" s="327"/>
      <c r="CO120" s="327"/>
      <c r="CP120" s="327"/>
      <c r="CQ120" s="327"/>
      <c r="CR120" s="327"/>
      <c r="CS120" s="327"/>
      <c r="CT120" s="327"/>
      <c r="CU120" s="327"/>
      <c r="CV120" s="327"/>
      <c r="CW120" s="327"/>
      <c r="CX120" s="327"/>
      <c r="CY120" s="327"/>
      <c r="CZ120" s="327"/>
    </row>
    <row r="121" spans="2:104" ht="18" x14ac:dyDescent="0.25">
      <c r="B121" s="276" t="s">
        <v>54</v>
      </c>
      <c r="C121" s="274" t="s">
        <v>547</v>
      </c>
      <c r="D121" s="274"/>
      <c r="E121" s="275"/>
      <c r="F121" s="290">
        <f>SUM(F109:F119)</f>
        <v>0</v>
      </c>
      <c r="G121" s="597"/>
      <c r="H121" s="290" t="e">
        <f>(((F121*$F$76)/$D$76)*1000*$F$130)/$E$130</f>
        <v>#DIV/0!</v>
      </c>
      <c r="I121" s="290" t="e">
        <f>(((F121*$F$76)/$D$76)*1000*$F$131)/$E$131</f>
        <v>#DIV/0!</v>
      </c>
      <c r="J121" s="290" t="e">
        <f>(((F121*$F$76)/$D$76)*1000*$F$132)/$E$132</f>
        <v>#DIV/0!</v>
      </c>
      <c r="CB121" s="323"/>
      <c r="CC121" s="327"/>
      <c r="CD121" s="327"/>
      <c r="CE121" s="327"/>
      <c r="CF121" s="327"/>
      <c r="CG121" s="327"/>
      <c r="CH121" s="327"/>
      <c r="CI121" s="327"/>
      <c r="CJ121" s="327"/>
      <c r="CK121" s="327"/>
      <c r="CL121" s="327"/>
      <c r="CM121" s="327"/>
      <c r="CN121" s="327"/>
      <c r="CO121" s="327"/>
      <c r="CP121" s="327"/>
      <c r="CQ121" s="327"/>
      <c r="CR121" s="327"/>
      <c r="CS121" s="327"/>
      <c r="CT121" s="327"/>
      <c r="CU121" s="327"/>
      <c r="CV121" s="327"/>
      <c r="CW121" s="327"/>
      <c r="CX121" s="327"/>
      <c r="CY121" s="327"/>
      <c r="CZ121" s="327"/>
    </row>
    <row r="122" spans="2:104" ht="18" x14ac:dyDescent="0.25">
      <c r="B122" s="276" t="s">
        <v>61</v>
      </c>
      <c r="C122" s="274" t="s">
        <v>547</v>
      </c>
      <c r="D122" s="274"/>
      <c r="E122" s="275"/>
      <c r="F122" s="290" t="e">
        <f>SUM(F80:F107)</f>
        <v>#DIV/0!</v>
      </c>
      <c r="G122" s="597"/>
      <c r="H122" s="290" t="e">
        <f>(((F122*$F$76)/$D$76)*1000*$F$130)/$E$130</f>
        <v>#DIV/0!</v>
      </c>
      <c r="I122" s="290" t="e">
        <f>(((F122*$F$76)/$D$76)*1000*$F$131)/$E$131</f>
        <v>#DIV/0!</v>
      </c>
      <c r="J122" s="290" t="e">
        <f>(((F122*$F$76)/$D$76)*1000*$F$132)/$E$132</f>
        <v>#DIV/0!</v>
      </c>
      <c r="CB122" s="323"/>
      <c r="CC122" s="157"/>
      <c r="CD122" s="327"/>
      <c r="CE122" s="327"/>
      <c r="CF122" s="327"/>
      <c r="CG122" s="327"/>
      <c r="CH122" s="327"/>
      <c r="CI122" s="327"/>
      <c r="CJ122" s="327"/>
      <c r="CK122" s="327"/>
      <c r="CL122" s="327"/>
      <c r="CM122" s="327"/>
      <c r="CN122" s="327"/>
      <c r="CO122" s="327"/>
      <c r="CP122" s="327"/>
      <c r="CQ122" s="327"/>
      <c r="CR122" s="327"/>
      <c r="CS122" s="327"/>
      <c r="CT122" s="327"/>
      <c r="CU122" s="327"/>
      <c r="CV122" s="327"/>
      <c r="CW122" s="327"/>
      <c r="CX122" s="327"/>
      <c r="CY122" s="327"/>
      <c r="CZ122" s="327"/>
    </row>
    <row r="123" spans="2:104" ht="18" x14ac:dyDescent="0.25">
      <c r="B123" s="276" t="s">
        <v>55</v>
      </c>
      <c r="C123" s="274" t="s">
        <v>547</v>
      </c>
      <c r="D123" s="274"/>
      <c r="E123" s="275"/>
      <c r="F123" s="290" t="e">
        <f>F121+F122</f>
        <v>#DIV/0!</v>
      </c>
      <c r="G123" s="597"/>
      <c r="H123" s="290" t="e">
        <f>(((F123*$F$76)/$D$76)*1000*$F$130)/$E$130</f>
        <v>#DIV/0!</v>
      </c>
      <c r="I123" s="290" t="e">
        <f>(((F123*$F$76)/$D$76)*1000*$F$131)/$E$131</f>
        <v>#DIV/0!</v>
      </c>
      <c r="J123" s="290" t="e">
        <f>(((F123*$F$76)/$D$76)*1000*$F$132)/$E$132</f>
        <v>#DIV/0!</v>
      </c>
      <c r="CB123" s="323"/>
      <c r="CC123" s="157"/>
      <c r="CD123" s="327"/>
      <c r="CE123" s="327"/>
      <c r="CF123" s="327"/>
      <c r="CG123" s="327"/>
      <c r="CH123" s="327"/>
      <c r="CI123" s="327"/>
      <c r="CJ123" s="327"/>
      <c r="CK123" s="327"/>
      <c r="CL123" s="327"/>
      <c r="CM123" s="327"/>
      <c r="CN123" s="327"/>
      <c r="CO123" s="327"/>
      <c r="CP123" s="327"/>
      <c r="CQ123" s="327"/>
      <c r="CR123" s="327"/>
      <c r="CS123" s="327"/>
      <c r="CT123" s="327"/>
      <c r="CU123" s="327"/>
      <c r="CV123" s="327"/>
      <c r="CW123" s="327"/>
      <c r="CX123" s="327"/>
      <c r="CY123" s="327"/>
      <c r="CZ123" s="327"/>
    </row>
    <row r="124" spans="2:104" ht="6" customHeight="1" x14ac:dyDescent="0.25">
      <c r="D124" s="324"/>
      <c r="E124" s="324"/>
      <c r="F124" s="321"/>
      <c r="G124" s="321"/>
      <c r="H124" s="325"/>
      <c r="I124" s="88"/>
      <c r="J124" s="88"/>
      <c r="CB124" s="323"/>
      <c r="CC124" s="157"/>
      <c r="CD124" s="327"/>
      <c r="CE124" s="327"/>
      <c r="CF124" s="327"/>
      <c r="CG124" s="327"/>
      <c r="CH124" s="327"/>
      <c r="CI124" s="327"/>
      <c r="CJ124" s="327"/>
      <c r="CK124" s="327"/>
      <c r="CL124" s="327"/>
      <c r="CM124" s="327"/>
      <c r="CN124" s="327"/>
      <c r="CO124" s="327"/>
      <c r="CP124" s="327"/>
      <c r="CQ124" s="327"/>
      <c r="CR124" s="327"/>
      <c r="CS124" s="327"/>
      <c r="CT124" s="327"/>
      <c r="CU124" s="327"/>
      <c r="CV124" s="327"/>
      <c r="CW124" s="327"/>
      <c r="CX124" s="327"/>
      <c r="CY124" s="327"/>
      <c r="CZ124" s="327"/>
    </row>
    <row r="125" spans="2:104" ht="18" x14ac:dyDescent="0.25">
      <c r="B125" s="276" t="s">
        <v>55</v>
      </c>
      <c r="C125" s="274" t="s">
        <v>584</v>
      </c>
      <c r="D125" s="274"/>
      <c r="E125" s="275"/>
      <c r="F125" s="290" t="e">
        <f>F123*F76/$D$76</f>
        <v>#DIV/0!</v>
      </c>
      <c r="G125" s="597"/>
      <c r="H125" s="326"/>
      <c r="I125" s="88"/>
      <c r="J125" s="88"/>
      <c r="CB125" s="323"/>
      <c r="CC125" s="157"/>
      <c r="CD125" s="327"/>
      <c r="CE125" s="327"/>
      <c r="CF125" s="327"/>
      <c r="CG125" s="327"/>
      <c r="CH125" s="327"/>
      <c r="CI125" s="327"/>
      <c r="CJ125" s="327"/>
      <c r="CK125" s="327"/>
      <c r="CL125" s="327"/>
      <c r="CM125" s="327"/>
      <c r="CN125" s="327"/>
      <c r="CO125" s="327"/>
      <c r="CP125" s="327"/>
      <c r="CQ125" s="327"/>
      <c r="CR125" s="327"/>
      <c r="CS125" s="327"/>
      <c r="CT125" s="327"/>
      <c r="CU125" s="327"/>
      <c r="CV125" s="327"/>
      <c r="CW125" s="327"/>
      <c r="CX125" s="327"/>
      <c r="CY125" s="327"/>
      <c r="CZ125" s="327"/>
    </row>
    <row r="126" spans="2:104" x14ac:dyDescent="0.25">
      <c r="B126" s="327"/>
      <c r="C126" s="328"/>
      <c r="E126" s="327"/>
      <c r="F126" s="327"/>
      <c r="G126" s="327"/>
      <c r="H126" s="85"/>
      <c r="BZ126" s="323"/>
      <c r="CA126" s="157"/>
      <c r="CB126" s="327"/>
      <c r="CC126" s="327"/>
      <c r="CD126" s="327"/>
      <c r="CE126" s="327"/>
      <c r="CF126" s="327"/>
      <c r="CG126" s="327"/>
      <c r="CH126" s="327"/>
      <c r="CI126" s="327"/>
      <c r="CJ126" s="327"/>
      <c r="CK126" s="327"/>
      <c r="CL126" s="327"/>
      <c r="CM126" s="327"/>
      <c r="CN126" s="327"/>
      <c r="CO126" s="327"/>
      <c r="CP126" s="327"/>
      <c r="CQ126" s="327"/>
      <c r="CR126" s="327"/>
      <c r="CS126" s="327"/>
      <c r="CT126" s="327"/>
      <c r="CU126" s="327"/>
      <c r="CV126" s="327"/>
      <c r="CW126" s="327"/>
      <c r="CX126" s="327"/>
    </row>
    <row r="127" spans="2:104" x14ac:dyDescent="0.25">
      <c r="B127" s="327"/>
      <c r="C127" s="328"/>
      <c r="E127" s="327"/>
      <c r="F127" s="327"/>
      <c r="G127" s="327"/>
      <c r="H127" s="85"/>
      <c r="BZ127" s="323"/>
      <c r="CA127" s="157"/>
      <c r="CB127" s="327"/>
      <c r="CC127" s="327"/>
      <c r="CD127" s="327"/>
      <c r="CE127" s="327"/>
      <c r="CF127" s="327"/>
      <c r="CG127" s="327"/>
      <c r="CH127" s="327"/>
      <c r="CI127" s="327"/>
      <c r="CJ127" s="327"/>
      <c r="CK127" s="327"/>
      <c r="CL127" s="327"/>
      <c r="CM127" s="327"/>
      <c r="CN127" s="327"/>
      <c r="CO127" s="327"/>
      <c r="CP127" s="327"/>
      <c r="CQ127" s="327"/>
      <c r="CR127" s="327"/>
      <c r="CS127" s="327"/>
      <c r="CT127" s="327"/>
      <c r="CU127" s="327"/>
      <c r="CV127" s="327"/>
      <c r="CW127" s="327"/>
      <c r="CX127" s="327"/>
    </row>
    <row r="128" spans="2:104" ht="18.75" customHeight="1" x14ac:dyDescent="0.25">
      <c r="B128" s="737" t="s">
        <v>827</v>
      </c>
      <c r="C128" s="737"/>
      <c r="D128" s="737"/>
      <c r="E128" s="737"/>
      <c r="F128" s="737"/>
      <c r="G128" s="453"/>
      <c r="H128" s="740" t="s">
        <v>940</v>
      </c>
      <c r="I128" s="740" t="s">
        <v>941</v>
      </c>
      <c r="J128" s="740" t="s">
        <v>942</v>
      </c>
      <c r="BZ128" s="323" t="e">
        <f>F125*CD135</f>
        <v>#DIV/0!</v>
      </c>
      <c r="CA128" s="157"/>
      <c r="CB128" s="327"/>
      <c r="CC128" s="327"/>
      <c r="CD128" s="327"/>
      <c r="CE128" s="327"/>
      <c r="CF128" s="327"/>
      <c r="CG128" s="327"/>
      <c r="CH128" s="327"/>
      <c r="CI128" s="327"/>
      <c r="CJ128" s="327"/>
      <c r="CK128" s="327"/>
      <c r="CL128" s="327"/>
      <c r="CM128" s="327"/>
      <c r="CN128" s="327"/>
      <c r="CO128" s="327"/>
      <c r="CP128" s="327"/>
      <c r="CQ128" s="327"/>
      <c r="CR128" s="327"/>
      <c r="CS128" s="327"/>
      <c r="CT128" s="327"/>
      <c r="CU128" s="327"/>
      <c r="CV128" s="327"/>
      <c r="CW128" s="327"/>
      <c r="CX128" s="327"/>
    </row>
    <row r="129" spans="2:103" ht="18" customHeight="1" x14ac:dyDescent="0.25">
      <c r="B129" s="279" t="s">
        <v>495</v>
      </c>
      <c r="C129" s="306" t="s">
        <v>0</v>
      </c>
      <c r="D129" s="573" t="s">
        <v>593</v>
      </c>
      <c r="E129" s="306" t="s">
        <v>29</v>
      </c>
      <c r="F129" s="306" t="s">
        <v>330</v>
      </c>
      <c r="G129" s="583"/>
      <c r="H129" s="740"/>
      <c r="I129" s="740"/>
      <c r="J129" s="740"/>
      <c r="CA129" s="327"/>
      <c r="CB129" s="347"/>
      <c r="CC129" s="327"/>
      <c r="CD129" s="327"/>
      <c r="CE129" s="327"/>
      <c r="CF129" s="327"/>
      <c r="CG129" s="327"/>
      <c r="CH129" s="327"/>
      <c r="CI129" s="327"/>
      <c r="CJ129" s="327"/>
      <c r="CK129" s="327"/>
      <c r="CL129" s="327"/>
      <c r="CM129" s="327"/>
      <c r="CN129" s="327"/>
      <c r="CO129" s="327"/>
      <c r="CP129" s="327"/>
      <c r="CQ129" s="327"/>
      <c r="CR129" s="327"/>
      <c r="CS129" s="327"/>
      <c r="CT129" s="327"/>
      <c r="CU129" s="327"/>
      <c r="CV129" s="327"/>
      <c r="CW129" s="327"/>
      <c r="CX129" s="327"/>
      <c r="CY129" s="327"/>
    </row>
    <row r="130" spans="2:103" ht="15" customHeight="1" x14ac:dyDescent="0.25">
      <c r="B130" s="94" t="s">
        <v>335</v>
      </c>
      <c r="C130" s="94" t="s">
        <v>1</v>
      </c>
      <c r="D130" s="605">
        <f>CombAlterHEFA!D140</f>
        <v>0</v>
      </c>
      <c r="E130" s="621">
        <f>D130*'Dados auxiliares'!$F$20</f>
        <v>0</v>
      </c>
      <c r="F130" s="603" t="e">
        <f>E130/SUM($E$130:$E$134)</f>
        <v>#DIV/0!</v>
      </c>
      <c r="G130" s="585"/>
      <c r="H130" s="740"/>
      <c r="I130" s="740"/>
      <c r="J130" s="740"/>
      <c r="CA130" s="348"/>
      <c r="CB130" s="327"/>
      <c r="CC130" s="327"/>
      <c r="CD130" s="327"/>
      <c r="CE130" s="327"/>
      <c r="CF130" s="327"/>
      <c r="CG130" s="327"/>
      <c r="CH130" s="327"/>
      <c r="CI130" s="327"/>
      <c r="CJ130" s="327"/>
      <c r="CK130" s="327"/>
      <c r="CL130" s="327"/>
      <c r="CM130" s="327"/>
      <c r="CN130" s="327"/>
      <c r="CO130" s="327"/>
      <c r="CP130" s="327"/>
      <c r="CQ130" s="327"/>
      <c r="CR130" s="327"/>
      <c r="CS130" s="327"/>
      <c r="CT130" s="327"/>
      <c r="CU130" s="327"/>
      <c r="CV130" s="327"/>
      <c r="CW130" s="327"/>
      <c r="CX130" s="327"/>
      <c r="CY130" s="327"/>
    </row>
    <row r="131" spans="2:103" ht="15" customHeight="1" x14ac:dyDescent="0.25">
      <c r="B131" s="94" t="s">
        <v>838</v>
      </c>
      <c r="C131" s="94" t="s">
        <v>1</v>
      </c>
      <c r="D131" s="605">
        <f>CombAlterHEFA!D141</f>
        <v>0</v>
      </c>
      <c r="E131" s="621">
        <f>D131*'Dados auxiliares'!$F$22</f>
        <v>0</v>
      </c>
      <c r="F131" s="603" t="e">
        <f t="shared" ref="F131:F134" si="25">E131/SUM($E$130:$E$134)</f>
        <v>#DIV/0!</v>
      </c>
      <c r="G131" s="585"/>
      <c r="H131" s="740"/>
      <c r="I131" s="740"/>
      <c r="J131" s="740"/>
      <c r="CA131" s="323"/>
      <c r="CB131" s="327"/>
      <c r="CC131" s="327"/>
      <c r="CD131" s="327"/>
      <c r="CE131" s="327"/>
      <c r="CF131" s="327"/>
      <c r="CG131" s="327"/>
      <c r="CH131" s="327"/>
      <c r="CI131" s="327"/>
      <c r="CJ131" s="327"/>
      <c r="CK131" s="327"/>
      <c r="CL131" s="327"/>
      <c r="CM131" s="327"/>
      <c r="CN131" s="327"/>
      <c r="CO131" s="327"/>
      <c r="CP131" s="327"/>
      <c r="CQ131" s="327"/>
      <c r="CR131" s="327"/>
      <c r="CS131" s="327"/>
      <c r="CT131" s="327"/>
      <c r="CU131" s="327"/>
      <c r="CV131" s="327"/>
      <c r="CW131" s="327"/>
      <c r="CX131" s="327"/>
      <c r="CY131" s="327"/>
    </row>
    <row r="132" spans="2:103" ht="15" customHeight="1" x14ac:dyDescent="0.25">
      <c r="B132" s="94" t="s">
        <v>839</v>
      </c>
      <c r="C132" s="94" t="s">
        <v>1</v>
      </c>
      <c r="D132" s="605">
        <f>CombAlterHEFA!D142</f>
        <v>0</v>
      </c>
      <c r="E132" s="621">
        <f>D132*'Dados auxiliares'!$F$21</f>
        <v>0</v>
      </c>
      <c r="F132" s="603" t="e">
        <f t="shared" si="25"/>
        <v>#DIV/0!</v>
      </c>
      <c r="G132" s="585"/>
      <c r="H132" s="740"/>
      <c r="I132" s="740"/>
      <c r="J132" s="740"/>
      <c r="CA132" s="323"/>
      <c r="CB132" s="327"/>
      <c r="CC132" s="327"/>
      <c r="CD132" s="327"/>
      <c r="CE132" s="327"/>
      <c r="CF132" s="327"/>
      <c r="CG132" s="327"/>
      <c r="CH132" s="327"/>
      <c r="CI132" s="327"/>
      <c r="CJ132" s="327"/>
      <c r="CK132" s="327"/>
      <c r="CL132" s="327"/>
      <c r="CM132" s="327"/>
      <c r="CN132" s="327"/>
      <c r="CO132" s="327"/>
      <c r="CP132" s="327"/>
      <c r="CQ132" s="327"/>
      <c r="CR132" s="327"/>
      <c r="CS132" s="327"/>
      <c r="CT132" s="327"/>
      <c r="CU132" s="327"/>
      <c r="CV132" s="327"/>
      <c r="CW132" s="327"/>
      <c r="CX132" s="327"/>
      <c r="CY132" s="327"/>
    </row>
    <row r="133" spans="2:103" ht="15" customHeight="1" x14ac:dyDescent="0.25">
      <c r="B133" s="94" t="s">
        <v>855</v>
      </c>
      <c r="C133" s="94" t="s">
        <v>1</v>
      </c>
      <c r="D133" s="605">
        <f>CombAlterHEFA!D143</f>
        <v>0</v>
      </c>
      <c r="E133" s="621">
        <f>D133*'Dados auxiliares'!$F$23</f>
        <v>0</v>
      </c>
      <c r="F133" s="603" t="e">
        <f t="shared" si="25"/>
        <v>#DIV/0!</v>
      </c>
      <c r="G133" s="585"/>
      <c r="H133" s="740"/>
      <c r="I133" s="740"/>
      <c r="J133" s="740"/>
      <c r="L133" s="750" t="s">
        <v>995</v>
      </c>
      <c r="M133" s="750" t="s">
        <v>1009</v>
      </c>
      <c r="N133" s="750" t="s">
        <v>998</v>
      </c>
      <c r="O133" s="750" t="s">
        <v>1003</v>
      </c>
      <c r="P133" s="750"/>
      <c r="Q133" s="750" t="s">
        <v>1006</v>
      </c>
      <c r="R133" s="71"/>
      <c r="S133" s="750" t="s">
        <v>1010</v>
      </c>
      <c r="CA133" s="323"/>
      <c r="CB133" s="327"/>
      <c r="CC133" s="327"/>
      <c r="CD133" s="327"/>
      <c r="CE133" s="327"/>
      <c r="CF133" s="327"/>
      <c r="CG133" s="327"/>
      <c r="CH133" s="327"/>
      <c r="CI133" s="327"/>
      <c r="CJ133" s="327"/>
      <c r="CK133" s="327"/>
      <c r="CL133" s="327"/>
      <c r="CM133" s="327"/>
      <c r="CN133" s="327"/>
      <c r="CO133" s="327"/>
      <c r="CP133" s="327"/>
      <c r="CQ133" s="327"/>
      <c r="CR133" s="327"/>
      <c r="CS133" s="327"/>
      <c r="CT133" s="327"/>
      <c r="CU133" s="327"/>
      <c r="CV133" s="327"/>
      <c r="CW133" s="327"/>
      <c r="CX133" s="327"/>
      <c r="CY133" s="327"/>
    </row>
    <row r="134" spans="2:103" ht="15" customHeight="1" x14ac:dyDescent="0.25">
      <c r="B134" s="94" t="s">
        <v>836</v>
      </c>
      <c r="C134" s="94" t="s">
        <v>57</v>
      </c>
      <c r="D134" s="605">
        <f>CombAlterHEFA!D144</f>
        <v>0</v>
      </c>
      <c r="E134" s="621">
        <f>CONVERT(D134,"kWh","MJ")</f>
        <v>0</v>
      </c>
      <c r="F134" s="603" t="e">
        <f t="shared" si="25"/>
        <v>#DIV/0!</v>
      </c>
      <c r="G134" s="585"/>
      <c r="H134" s="740"/>
      <c r="I134" s="740"/>
      <c r="J134" s="740"/>
      <c r="L134" s="750"/>
      <c r="M134" s="750"/>
      <c r="N134" s="750"/>
      <c r="O134" s="750"/>
      <c r="P134" s="750"/>
      <c r="Q134" s="750"/>
      <c r="R134" s="71"/>
      <c r="S134" s="750"/>
      <c r="CA134" s="323"/>
      <c r="CB134" s="327"/>
      <c r="CC134" s="327"/>
      <c r="CD134" s="327"/>
      <c r="CE134" s="327"/>
      <c r="CF134" s="327"/>
      <c r="CG134" s="327"/>
      <c r="CH134" s="327"/>
      <c r="CI134" s="327"/>
      <c r="CJ134" s="327"/>
      <c r="CK134" s="327"/>
      <c r="CL134" s="327"/>
      <c r="CM134" s="327"/>
      <c r="CN134" s="327"/>
      <c r="CO134" s="327"/>
      <c r="CP134" s="327"/>
      <c r="CQ134" s="327"/>
      <c r="CR134" s="327"/>
      <c r="CS134" s="327"/>
      <c r="CT134" s="327"/>
      <c r="CU134" s="327"/>
      <c r="CV134" s="327"/>
      <c r="CW134" s="327"/>
      <c r="CX134" s="327"/>
      <c r="CY134" s="327"/>
    </row>
    <row r="135" spans="2:103" ht="18" customHeight="1" x14ac:dyDescent="0.25">
      <c r="B135" s="281" t="s">
        <v>58</v>
      </c>
      <c r="C135" s="306" t="s">
        <v>0</v>
      </c>
      <c r="D135" s="306" t="s">
        <v>593</v>
      </c>
      <c r="E135" s="282"/>
      <c r="F135" s="283" t="s">
        <v>594</v>
      </c>
      <c r="G135" s="272"/>
      <c r="H135" s="283" t="s">
        <v>535</v>
      </c>
      <c r="I135" s="283" t="s">
        <v>535</v>
      </c>
      <c r="J135" s="283" t="s">
        <v>535</v>
      </c>
      <c r="L135" s="283"/>
      <c r="M135" s="283" t="s">
        <v>991</v>
      </c>
      <c r="N135" s="283"/>
      <c r="O135" s="283" t="s">
        <v>1004</v>
      </c>
      <c r="P135" s="283" t="s">
        <v>1005</v>
      </c>
      <c r="Q135" s="283" t="s">
        <v>1007</v>
      </c>
      <c r="R135" s="71"/>
      <c r="S135" s="283"/>
      <c r="CA135" s="349" t="e">
        <v>#REF!</v>
      </c>
      <c r="CB135" s="327" t="e">
        <f>D130/CA135</f>
        <v>#REF!</v>
      </c>
      <c r="CC135" s="327" t="e">
        <f>CB135*1000</f>
        <v>#REF!</v>
      </c>
      <c r="CD135" s="327" t="e">
        <f>CC135/D130</f>
        <v>#REF!</v>
      </c>
      <c r="CE135" s="327"/>
      <c r="CF135" s="327"/>
      <c r="CG135" s="327"/>
      <c r="CH135" s="327"/>
      <c r="CI135" s="327"/>
      <c r="CJ135" s="327"/>
      <c r="CK135" s="327"/>
      <c r="CL135" s="327"/>
      <c r="CM135" s="327"/>
      <c r="CN135" s="327"/>
      <c r="CO135" s="327"/>
      <c r="CP135" s="327"/>
      <c r="CQ135" s="327"/>
      <c r="CR135" s="327"/>
      <c r="CS135" s="327"/>
      <c r="CT135" s="327"/>
      <c r="CU135" s="327"/>
      <c r="CV135" s="327"/>
      <c r="CW135" s="327"/>
      <c r="CX135" s="327"/>
      <c r="CY135" s="327"/>
    </row>
    <row r="136" spans="2:103" ht="18" x14ac:dyDescent="0.25">
      <c r="B136" s="680" t="s">
        <v>912</v>
      </c>
      <c r="C136" s="94" t="s">
        <v>1</v>
      </c>
      <c r="D136" s="682" t="e">
        <f>CombAlterHEFA!$D$131/(CombAlterHEFA!$D$131+CombAlterHEFA!$D$135)</f>
        <v>#DIV/0!</v>
      </c>
      <c r="E136" s="606"/>
      <c r="F136" s="666" t="e">
        <f>CombAlterHEFA!$D$131*$F$125*1000*D136</f>
        <v>#DIV/0!</v>
      </c>
      <c r="G136" s="595"/>
      <c r="H136" s="142" t="e">
        <f>(F136*$F$130)/$E$130</f>
        <v>#DIV/0!</v>
      </c>
      <c r="I136" s="142" t="e">
        <f>(F136*$F$131)/$E$131</f>
        <v>#DIV/0!</v>
      </c>
      <c r="J136" s="142" t="e">
        <f>(F136*$F$132)/$E$132</f>
        <v>#DIV/0!</v>
      </c>
      <c r="L136" s="278">
        <f>CombAlterHEFA!D133</f>
        <v>0</v>
      </c>
      <c r="M136" s="278" t="e">
        <f>$F$125</f>
        <v>#DIV/0!</v>
      </c>
      <c r="N136" s="674" t="s">
        <v>584</v>
      </c>
      <c r="O136" s="278" t="e">
        <f>D136*IF(L136="Sim",1,0)</f>
        <v>#DIV/0!</v>
      </c>
      <c r="P136" s="548" t="e">
        <f>O136/$O$140</f>
        <v>#DIV/0!</v>
      </c>
      <c r="Q136" s="278" t="e">
        <f>P136*IF(O136&gt;0,M136,0)</f>
        <v>#DIV/0!</v>
      </c>
      <c r="R136" s="71"/>
      <c r="S136" s="301" t="e">
        <f>IF(L136="Sim",M136,$Q$140)</f>
        <v>#DIV/0!</v>
      </c>
      <c r="CA136" s="350"/>
      <c r="CB136" s="327"/>
      <c r="CC136" s="327"/>
      <c r="CD136" s="327"/>
      <c r="CE136" s="327"/>
      <c r="CF136" s="327"/>
      <c r="CG136" s="327"/>
      <c r="CH136" s="327"/>
      <c r="CI136" s="327"/>
      <c r="CJ136" s="327"/>
      <c r="CK136" s="327"/>
      <c r="CL136" s="327"/>
      <c r="CM136" s="327"/>
      <c r="CN136" s="327"/>
      <c r="CO136" s="327"/>
      <c r="CP136" s="327"/>
      <c r="CQ136" s="327"/>
      <c r="CR136" s="327"/>
      <c r="CS136" s="327"/>
      <c r="CT136" s="327"/>
      <c r="CU136" s="327"/>
      <c r="CV136" s="327"/>
      <c r="CW136" s="327"/>
      <c r="CX136" s="327"/>
      <c r="CY136" s="327"/>
    </row>
    <row r="137" spans="2:103" x14ac:dyDescent="0.25">
      <c r="B137" s="94" t="s">
        <v>692</v>
      </c>
      <c r="C137" s="94" t="s">
        <v>47</v>
      </c>
      <c r="D137" s="605" t="e">
        <f>D136*CombAlterHEFA!$D$132</f>
        <v>#DIV/0!</v>
      </c>
      <c r="E137" s="606"/>
      <c r="F137" s="605" t="e">
        <f>D137*'Dados auxiliares'!$H$132</f>
        <v>#DIV/0!</v>
      </c>
      <c r="G137" s="595"/>
      <c r="H137" s="142" t="e">
        <f t="shared" ref="H137:H138" si="26">(F137*$F$130)/$E$130</f>
        <v>#DIV/0!</v>
      </c>
      <c r="I137" s="142" t="e">
        <f t="shared" ref="I137:I174" si="27">(F137*$F$131)/$E$131</f>
        <v>#DIV/0!</v>
      </c>
      <c r="J137" s="142" t="e">
        <f t="shared" ref="J137:J174" si="28">(F137*$F$132)/$E$132</f>
        <v>#DIV/0!</v>
      </c>
      <c r="L137" s="250"/>
      <c r="M137" s="71"/>
      <c r="N137" s="71"/>
      <c r="O137" s="71"/>
      <c r="P137" s="675"/>
      <c r="Q137" s="71"/>
      <c r="R137" s="71"/>
      <c r="S137" s="464"/>
    </row>
    <row r="138" spans="2:103" ht="18" x14ac:dyDescent="0.25">
      <c r="B138" s="680" t="s">
        <v>939</v>
      </c>
      <c r="C138" s="680" t="s">
        <v>1</v>
      </c>
      <c r="D138" s="682" t="e">
        <f>CombAlterHEFA!$D$135/(CombAlterHEFA!$D$131+CombAlterHEFA!$D$135)</f>
        <v>#DIV/0!</v>
      </c>
      <c r="E138" s="681"/>
      <c r="F138" s="666" t="e">
        <f>(CombAlterHEFA!D135*CombAlterHEFA!G135*1000)*D138</f>
        <v>#DIV/0!</v>
      </c>
      <c r="G138" s="595"/>
      <c r="H138" s="142" t="e">
        <f t="shared" si="26"/>
        <v>#DIV/0!</v>
      </c>
      <c r="I138" s="142" t="e">
        <f t="shared" ref="I138" si="29">(F138*$F$131)/$E$131</f>
        <v>#DIV/0!</v>
      </c>
      <c r="J138" s="142" t="e">
        <f t="shared" ref="J138" si="30">(F138*$F$132)/$E$132</f>
        <v>#DIV/0!</v>
      </c>
      <c r="L138" s="278">
        <f>CombAlterHEFA!D137</f>
        <v>0</v>
      </c>
      <c r="M138" s="278">
        <f>CombAlterHEFA!G135</f>
        <v>0</v>
      </c>
      <c r="N138" s="674" t="s">
        <v>992</v>
      </c>
      <c r="O138" s="278" t="e">
        <f>D138*IF(L138="Sim",1,0)</f>
        <v>#DIV/0!</v>
      </c>
      <c r="P138" s="548" t="e">
        <f>O138/$O$140</f>
        <v>#DIV/0!</v>
      </c>
      <c r="Q138" s="278" t="e">
        <f>P138*M138</f>
        <v>#DIV/0!</v>
      </c>
      <c r="R138" s="71"/>
      <c r="S138" s="301" t="e">
        <f>IF(L138="Sim",M138,$Q$140)</f>
        <v>#DIV/0!</v>
      </c>
    </row>
    <row r="139" spans="2:103" ht="18" x14ac:dyDescent="0.25">
      <c r="B139" s="94" t="s">
        <v>921</v>
      </c>
      <c r="C139" s="94" t="s">
        <v>47</v>
      </c>
      <c r="D139" s="605" t="e">
        <f>(CombAlterHEFA!D135*CombAlterHEFA!D136)/(CombAlterHEFA!$D$131+CombAlterHEFA!$D$135)</f>
        <v>#DIV/0!</v>
      </c>
      <c r="E139" s="606"/>
      <c r="F139" s="605" t="e">
        <f>D139*'Dados auxiliares'!$H$132</f>
        <v>#DIV/0!</v>
      </c>
      <c r="G139" s="595"/>
      <c r="H139" s="142" t="e">
        <f t="shared" ref="H139:H161" si="31">(F139*$F$130)/$E$130</f>
        <v>#DIV/0!</v>
      </c>
      <c r="I139" s="142" t="e">
        <f t="shared" ref="I139" si="32">(F139*$F$131)/$E$131</f>
        <v>#DIV/0!</v>
      </c>
      <c r="J139" s="142" t="e">
        <f t="shared" ref="J139" si="33">(F139*$F$132)/$E$132</f>
        <v>#DIV/0!</v>
      </c>
      <c r="L139" s="250"/>
      <c r="M139" s="71"/>
      <c r="N139" s="71"/>
      <c r="O139" s="71"/>
      <c r="P139" s="71"/>
      <c r="Q139" s="283" t="s">
        <v>1008</v>
      </c>
      <c r="R139" s="71"/>
      <c r="S139" s="71"/>
    </row>
    <row r="140" spans="2:103" x14ac:dyDescent="0.25">
      <c r="B140" s="94" t="s">
        <v>20</v>
      </c>
      <c r="C140" s="94" t="s">
        <v>1</v>
      </c>
      <c r="D140" s="608">
        <v>383.53488372093</v>
      </c>
      <c r="E140" s="606"/>
      <c r="F140" s="607">
        <f>D140*'Dados auxiliares'!$H$83</f>
        <v>3.375710047621399</v>
      </c>
      <c r="G140" s="598"/>
      <c r="H140" s="142" t="e">
        <f t="shared" si="31"/>
        <v>#DIV/0!</v>
      </c>
      <c r="I140" s="142" t="e">
        <f t="shared" si="27"/>
        <v>#DIV/0!</v>
      </c>
      <c r="J140" s="142" t="e">
        <f t="shared" si="28"/>
        <v>#DIV/0!</v>
      </c>
      <c r="L140" s="250"/>
      <c r="M140" s="71"/>
      <c r="N140" s="71"/>
      <c r="O140" s="673" t="e">
        <f>SUM(O136:O138)</f>
        <v>#DIV/0!</v>
      </c>
      <c r="P140" s="677" t="e">
        <f>SUM(P136:P138)</f>
        <v>#DIV/0!</v>
      </c>
      <c r="Q140" s="678" t="e">
        <f>SUM(Q136:Q138)</f>
        <v>#DIV/0!</v>
      </c>
      <c r="S140" s="71"/>
      <c r="CA140" s="339"/>
      <c r="CB140" s="327"/>
      <c r="CC140" s="327"/>
      <c r="CD140" s="327"/>
      <c r="CE140" s="327"/>
      <c r="CF140" s="327"/>
      <c r="CG140" s="327"/>
      <c r="CH140" s="327"/>
      <c r="CI140" s="327"/>
      <c r="CJ140" s="327"/>
      <c r="CK140" s="327"/>
      <c r="CL140" s="327"/>
      <c r="CM140" s="327"/>
      <c r="CN140" s="327"/>
      <c r="CO140" s="327"/>
      <c r="CP140" s="327"/>
      <c r="CQ140" s="327"/>
      <c r="CR140" s="327"/>
      <c r="CS140" s="327"/>
      <c r="CT140" s="327"/>
      <c r="CU140" s="327"/>
      <c r="CV140" s="327"/>
      <c r="CW140" s="327"/>
      <c r="CX140" s="327"/>
      <c r="CY140" s="327"/>
    </row>
    <row r="141" spans="2:103" x14ac:dyDescent="0.25">
      <c r="B141" s="94" t="s">
        <v>634</v>
      </c>
      <c r="C141" s="94" t="s">
        <v>1</v>
      </c>
      <c r="D141" s="605">
        <f>CombAlterHEFA!D147</f>
        <v>0</v>
      </c>
      <c r="E141" s="606"/>
      <c r="F141" s="604">
        <f>D141*'Dados auxiliares'!$H$102</f>
        <v>0</v>
      </c>
      <c r="G141" s="590"/>
      <c r="H141" s="142" t="e">
        <f t="shared" si="31"/>
        <v>#DIV/0!</v>
      </c>
      <c r="I141" s="142" t="e">
        <f t="shared" si="27"/>
        <v>#DIV/0!</v>
      </c>
      <c r="J141" s="142" t="e">
        <f t="shared" si="28"/>
        <v>#DIV/0!</v>
      </c>
      <c r="CA141" s="327"/>
      <c r="CB141" s="327"/>
      <c r="CC141" s="327"/>
      <c r="CD141" s="327"/>
      <c r="CE141" s="327"/>
      <c r="CF141" s="327"/>
      <c r="CG141" s="327"/>
      <c r="CH141" s="327"/>
      <c r="CI141" s="327"/>
      <c r="CJ141" s="327"/>
      <c r="CK141" s="327"/>
      <c r="CL141" s="327"/>
      <c r="CM141" s="327"/>
      <c r="CN141" s="327"/>
      <c r="CO141" s="327"/>
      <c r="CP141" s="327"/>
      <c r="CQ141" s="327"/>
      <c r="CR141" s="327"/>
      <c r="CS141" s="327"/>
      <c r="CT141" s="327"/>
      <c r="CU141" s="327"/>
      <c r="CV141" s="327"/>
      <c r="CW141" s="327"/>
      <c r="CX141" s="327"/>
      <c r="CY141" s="327"/>
    </row>
    <row r="142" spans="2:103" x14ac:dyDescent="0.25">
      <c r="B142" s="94" t="s">
        <v>376</v>
      </c>
      <c r="C142" s="94" t="s">
        <v>57</v>
      </c>
      <c r="D142" s="619">
        <f>CombAlterHEFA!D149</f>
        <v>0</v>
      </c>
      <c r="E142" s="606"/>
      <c r="F142" s="604">
        <f>D142*'Dados auxiliares'!$H$107</f>
        <v>0</v>
      </c>
      <c r="G142" s="590"/>
      <c r="H142" s="142" t="e">
        <f t="shared" si="31"/>
        <v>#DIV/0!</v>
      </c>
      <c r="I142" s="142" t="e">
        <f t="shared" si="27"/>
        <v>#DIV/0!</v>
      </c>
      <c r="J142" s="142" t="e">
        <f t="shared" si="28"/>
        <v>#DIV/0!</v>
      </c>
      <c r="CA142" s="351"/>
      <c r="CB142" s="327"/>
      <c r="CC142" s="327"/>
      <c r="CD142" s="327"/>
      <c r="CE142" s="352"/>
      <c r="CF142" s="327"/>
      <c r="CG142" s="327"/>
      <c r="CH142" s="327"/>
      <c r="CI142" s="327"/>
      <c r="CJ142" s="327"/>
      <c r="CK142" s="327"/>
      <c r="CL142" s="327"/>
      <c r="CM142" s="327"/>
      <c r="CN142" s="327"/>
      <c r="CO142" s="327"/>
      <c r="CP142" s="327"/>
      <c r="CQ142" s="327"/>
      <c r="CR142" s="327"/>
      <c r="CS142" s="327"/>
      <c r="CT142" s="327"/>
      <c r="CU142" s="327"/>
      <c r="CV142" s="327"/>
      <c r="CW142" s="327"/>
      <c r="CX142" s="327"/>
      <c r="CY142" s="327"/>
    </row>
    <row r="143" spans="2:103" x14ac:dyDescent="0.25">
      <c r="B143" s="94" t="s">
        <v>375</v>
      </c>
      <c r="C143" s="94" t="s">
        <v>57</v>
      </c>
      <c r="D143" s="619">
        <f>CombAlterHEFA!D150</f>
        <v>0</v>
      </c>
      <c r="E143" s="606"/>
      <c r="F143" s="604">
        <f>D143*'Dados auxiliares'!$H$108</f>
        <v>0</v>
      </c>
      <c r="G143" s="590"/>
      <c r="H143" s="142" t="e">
        <f t="shared" si="31"/>
        <v>#DIV/0!</v>
      </c>
      <c r="I143" s="142" t="e">
        <f t="shared" si="27"/>
        <v>#DIV/0!</v>
      </c>
      <c r="J143" s="142" t="e">
        <f t="shared" si="28"/>
        <v>#DIV/0!</v>
      </c>
      <c r="CA143" s="351"/>
      <c r="CB143" s="327"/>
      <c r="CC143" s="327"/>
      <c r="CD143" s="327"/>
      <c r="CE143" s="352"/>
      <c r="CF143" s="327"/>
      <c r="CG143" s="327"/>
      <c r="CH143" s="327"/>
      <c r="CI143" s="327"/>
      <c r="CJ143" s="327"/>
      <c r="CK143" s="327"/>
      <c r="CL143" s="327"/>
      <c r="CM143" s="327"/>
      <c r="CN143" s="327"/>
      <c r="CO143" s="327"/>
      <c r="CP143" s="327"/>
      <c r="CQ143" s="327"/>
      <c r="CR143" s="327"/>
      <c r="CS143" s="327"/>
      <c r="CT143" s="327"/>
      <c r="CU143" s="327"/>
      <c r="CV143" s="327"/>
      <c r="CW143" s="327"/>
      <c r="CX143" s="327"/>
      <c r="CY143" s="327"/>
    </row>
    <row r="144" spans="2:103" x14ac:dyDescent="0.25">
      <c r="B144" s="94" t="s">
        <v>372</v>
      </c>
      <c r="C144" s="94" t="s">
        <v>57</v>
      </c>
      <c r="D144" s="619">
        <f>CombAlterHEFA!D151</f>
        <v>0</v>
      </c>
      <c r="E144" s="606"/>
      <c r="F144" s="604">
        <f>D144*'Dados auxiliares'!$H$109</f>
        <v>0</v>
      </c>
      <c r="G144" s="590"/>
      <c r="H144" s="142" t="e">
        <f t="shared" si="31"/>
        <v>#DIV/0!</v>
      </c>
      <c r="I144" s="142" t="e">
        <f t="shared" si="27"/>
        <v>#DIV/0!</v>
      </c>
      <c r="J144" s="142" t="e">
        <f t="shared" si="28"/>
        <v>#DIV/0!</v>
      </c>
      <c r="CA144" s="351"/>
      <c r="CB144" s="327"/>
      <c r="CC144" s="327"/>
      <c r="CD144" s="327"/>
      <c r="CE144" s="352"/>
      <c r="CF144" s="327"/>
      <c r="CG144" s="327"/>
      <c r="CH144" s="327"/>
      <c r="CI144" s="327"/>
      <c r="CJ144" s="327"/>
      <c r="CK144" s="327"/>
      <c r="CL144" s="327"/>
      <c r="CM144" s="327"/>
      <c r="CN144" s="327"/>
      <c r="CO144" s="327"/>
      <c r="CP144" s="327"/>
      <c r="CQ144" s="327"/>
      <c r="CR144" s="327"/>
      <c r="CS144" s="327"/>
      <c r="CT144" s="327"/>
      <c r="CU144" s="327"/>
      <c r="CV144" s="327"/>
      <c r="CW144" s="327"/>
      <c r="CX144" s="327"/>
      <c r="CY144" s="327"/>
    </row>
    <row r="145" spans="2:103" x14ac:dyDescent="0.25">
      <c r="B145" s="94" t="s">
        <v>373</v>
      </c>
      <c r="C145" s="94" t="s">
        <v>57</v>
      </c>
      <c r="D145" s="619">
        <f>CombAlterHEFA!D152</f>
        <v>0</v>
      </c>
      <c r="E145" s="606"/>
      <c r="F145" s="604">
        <f>D145*'Dados auxiliares'!$H$110</f>
        <v>0</v>
      </c>
      <c r="G145" s="590"/>
      <c r="H145" s="142" t="e">
        <f t="shared" si="31"/>
        <v>#DIV/0!</v>
      </c>
      <c r="I145" s="142" t="e">
        <f t="shared" si="27"/>
        <v>#DIV/0!</v>
      </c>
      <c r="J145" s="142" t="e">
        <f t="shared" si="28"/>
        <v>#DIV/0!</v>
      </c>
      <c r="CA145" s="351"/>
      <c r="CB145" s="327"/>
      <c r="CC145" s="327"/>
      <c r="CD145" s="327"/>
      <c r="CE145" s="352"/>
      <c r="CF145" s="327"/>
      <c r="CG145" s="327"/>
      <c r="CH145" s="327"/>
      <c r="CI145" s="327"/>
      <c r="CJ145" s="327"/>
      <c r="CK145" s="327"/>
      <c r="CL145" s="327"/>
      <c r="CM145" s="327"/>
      <c r="CN145" s="327"/>
      <c r="CO145" s="327"/>
      <c r="CP145" s="327"/>
      <c r="CQ145" s="327"/>
      <c r="CR145" s="327"/>
      <c r="CS145" s="327"/>
      <c r="CT145" s="327"/>
      <c r="CU145" s="327"/>
      <c r="CV145" s="327"/>
      <c r="CW145" s="327"/>
      <c r="CX145" s="327"/>
      <c r="CY145" s="327"/>
    </row>
    <row r="146" spans="2:103" x14ac:dyDescent="0.25">
      <c r="B146" s="94" t="s">
        <v>374</v>
      </c>
      <c r="C146" s="94" t="s">
        <v>57</v>
      </c>
      <c r="D146" s="619">
        <f>CombAlterHEFA!D153</f>
        <v>0</v>
      </c>
      <c r="E146" s="606"/>
      <c r="F146" s="604">
        <f>D146*'Dados auxiliares'!$H$111</f>
        <v>0</v>
      </c>
      <c r="G146" s="590"/>
      <c r="H146" s="142" t="e">
        <f t="shared" si="31"/>
        <v>#DIV/0!</v>
      </c>
      <c r="I146" s="142" t="e">
        <f t="shared" si="27"/>
        <v>#DIV/0!</v>
      </c>
      <c r="J146" s="142" t="e">
        <f t="shared" si="28"/>
        <v>#DIV/0!</v>
      </c>
      <c r="CA146" s="351"/>
      <c r="CB146" s="327"/>
      <c r="CC146" s="327"/>
      <c r="CD146" s="327"/>
      <c r="CE146" s="352"/>
      <c r="CF146" s="327"/>
      <c r="CG146" s="327"/>
      <c r="CH146" s="327"/>
      <c r="CI146" s="327"/>
      <c r="CJ146" s="327"/>
      <c r="CK146" s="327"/>
      <c r="CL146" s="327"/>
      <c r="CM146" s="327"/>
      <c r="CN146" s="327"/>
      <c r="CO146" s="327"/>
      <c r="CP146" s="327"/>
      <c r="CQ146" s="327"/>
      <c r="CR146" s="327"/>
      <c r="CS146" s="327"/>
      <c r="CT146" s="327"/>
      <c r="CU146" s="327"/>
      <c r="CV146" s="327"/>
      <c r="CW146" s="327"/>
      <c r="CX146" s="327"/>
      <c r="CY146" s="327"/>
    </row>
    <row r="147" spans="2:103" x14ac:dyDescent="0.25">
      <c r="B147" s="94" t="s">
        <v>309</v>
      </c>
      <c r="C147" s="94" t="s">
        <v>1</v>
      </c>
      <c r="D147" s="619">
        <f>(CombAlterHEFA!$D$154*(1-0.08)+CombAlterHEFA!$D$155*(1-0.1)+CombAlterHEFA!$D$156*(1-CombAlterHEFA!$G$156)+CombAlterHEFA!$D$157*(1-0.2)+CombAlterHEFA!$D$158*(1-0.3)+CombAlterHEFA!$D$159*(1-1))*('Dados auxiliares'!$D$26)</f>
        <v>0</v>
      </c>
      <c r="E147" s="606"/>
      <c r="F147" s="604">
        <f>D147*'Dados auxiliares'!$H$116</f>
        <v>0</v>
      </c>
      <c r="G147" s="590"/>
      <c r="H147" s="142" t="e">
        <f t="shared" si="31"/>
        <v>#DIV/0!</v>
      </c>
      <c r="I147" s="142" t="e">
        <f t="shared" si="27"/>
        <v>#DIV/0!</v>
      </c>
      <c r="J147" s="142" t="e">
        <f t="shared" si="28"/>
        <v>#DIV/0!</v>
      </c>
      <c r="CA147" s="351"/>
      <c r="CB147" s="327"/>
      <c r="CC147" s="327"/>
      <c r="CD147" s="327"/>
      <c r="CE147" s="327"/>
      <c r="CF147" s="327"/>
      <c r="CG147" s="327"/>
      <c r="CH147" s="327"/>
      <c r="CI147" s="327"/>
      <c r="CJ147" s="327"/>
      <c r="CK147" s="327"/>
      <c r="CL147" s="327"/>
      <c r="CM147" s="327"/>
      <c r="CN147" s="327"/>
      <c r="CO147" s="327"/>
      <c r="CP147" s="327"/>
      <c r="CQ147" s="327"/>
      <c r="CR147" s="327"/>
      <c r="CS147" s="327"/>
      <c r="CT147" s="327"/>
      <c r="CU147" s="327"/>
      <c r="CV147" s="327"/>
      <c r="CW147" s="327"/>
      <c r="CX147" s="327"/>
      <c r="CY147" s="327"/>
    </row>
    <row r="148" spans="2:103" x14ac:dyDescent="0.25">
      <c r="B148" s="94" t="s">
        <v>187</v>
      </c>
      <c r="C148" s="94" t="s">
        <v>1</v>
      </c>
      <c r="D148" s="619">
        <f>(CombAlterHEFA!$D$154*(0.08)+CombAlterHEFA!$D$155*(0.1)+CombAlterHEFA!$D$156*(CombAlterHEFA!$G$156)+CombAlterHEFA!$D$157*(0.2)+CombAlterHEFA!$D$158*(0.3)+CombAlterHEFA!$D$159*(1))*('Dados auxiliares'!$D$17)</f>
        <v>0</v>
      </c>
      <c r="E148" s="606"/>
      <c r="F148" s="604">
        <f>D148*'Dados auxiliares'!$H$117</f>
        <v>0</v>
      </c>
      <c r="G148" s="590"/>
      <c r="H148" s="142" t="e">
        <f t="shared" si="31"/>
        <v>#DIV/0!</v>
      </c>
      <c r="I148" s="142" t="e">
        <f t="shared" si="27"/>
        <v>#DIV/0!</v>
      </c>
      <c r="J148" s="142" t="e">
        <f t="shared" si="28"/>
        <v>#DIV/0!</v>
      </c>
      <c r="CA148" s="351"/>
      <c r="CB148" s="327"/>
      <c r="CC148" s="327"/>
      <c r="CD148" s="327"/>
      <c r="CE148" s="327"/>
      <c r="CF148" s="327"/>
      <c r="CG148" s="327"/>
      <c r="CH148" s="327"/>
      <c r="CI148" s="327"/>
      <c r="CJ148" s="327"/>
      <c r="CK148" s="327"/>
      <c r="CL148" s="327"/>
      <c r="CM148" s="327"/>
      <c r="CN148" s="327"/>
      <c r="CO148" s="327"/>
      <c r="CP148" s="327"/>
      <c r="CQ148" s="327"/>
      <c r="CR148" s="327"/>
      <c r="CS148" s="327"/>
      <c r="CT148" s="327"/>
      <c r="CU148" s="327"/>
      <c r="CV148" s="327"/>
      <c r="CW148" s="327"/>
      <c r="CX148" s="327"/>
      <c r="CY148" s="327"/>
    </row>
    <row r="149" spans="2:103" x14ac:dyDescent="0.25">
      <c r="B149" s="94" t="s">
        <v>851</v>
      </c>
      <c r="C149" s="94" t="s">
        <v>1</v>
      </c>
      <c r="D149" s="619">
        <f>CombAlterHEFA!D160*'Dados auxiliares'!$D$30</f>
        <v>0</v>
      </c>
      <c r="E149" s="619"/>
      <c r="F149" s="604">
        <f>D149*'Dados auxiliares'!$H$126</f>
        <v>0</v>
      </c>
      <c r="G149" s="590"/>
      <c r="H149" s="142" t="e">
        <f t="shared" ref="H149" si="34">(F149*$F$130)/$E$130</f>
        <v>#DIV/0!</v>
      </c>
      <c r="I149" s="142" t="e">
        <f t="shared" ref="I149" si="35">(F149*$F$131)/$E$131</f>
        <v>#DIV/0!</v>
      </c>
      <c r="J149" s="142" t="e">
        <f t="shared" ref="J149" si="36">(F149*$F$132)/$E$132</f>
        <v>#DIV/0!</v>
      </c>
      <c r="CA149" s="351"/>
      <c r="CB149" s="327"/>
      <c r="CC149" s="327"/>
      <c r="CD149" s="327"/>
      <c r="CE149" s="327"/>
      <c r="CF149" s="327"/>
      <c r="CG149" s="327"/>
      <c r="CH149" s="327"/>
      <c r="CI149" s="327"/>
      <c r="CJ149" s="327"/>
      <c r="CK149" s="327"/>
      <c r="CL149" s="327"/>
      <c r="CM149" s="327"/>
      <c r="CN149" s="327"/>
      <c r="CO149" s="327"/>
      <c r="CP149" s="327"/>
      <c r="CQ149" s="327"/>
      <c r="CR149" s="327"/>
      <c r="CS149" s="327"/>
      <c r="CT149" s="327"/>
      <c r="CU149" s="327"/>
      <c r="CV149" s="327"/>
      <c r="CW149" s="327"/>
      <c r="CX149" s="327"/>
      <c r="CY149" s="327"/>
    </row>
    <row r="150" spans="2:103" x14ac:dyDescent="0.25">
      <c r="B150" s="94" t="s">
        <v>923</v>
      </c>
      <c r="C150" s="273" t="s">
        <v>169</v>
      </c>
      <c r="D150" s="237">
        <f>CombAlterHEFA!D161</f>
        <v>0</v>
      </c>
      <c r="E150" s="237"/>
      <c r="F150" s="238">
        <f>D150*CombAlterHEFA!G161*'Dados auxiliares'!$H$125</f>
        <v>0</v>
      </c>
      <c r="G150" s="590"/>
      <c r="H150" s="142" t="e">
        <f t="shared" si="31"/>
        <v>#DIV/0!</v>
      </c>
      <c r="I150" s="142" t="e">
        <f t="shared" si="27"/>
        <v>#DIV/0!</v>
      </c>
      <c r="J150" s="142" t="e">
        <f t="shared" si="28"/>
        <v>#DIV/0!</v>
      </c>
      <c r="CA150" s="351"/>
      <c r="CB150" s="327"/>
      <c r="CC150" s="327"/>
      <c r="CD150" s="327"/>
      <c r="CE150" s="327"/>
      <c r="CF150" s="327"/>
      <c r="CG150" s="327"/>
      <c r="CH150" s="327"/>
      <c r="CI150" s="327"/>
      <c r="CJ150" s="327"/>
      <c r="CK150" s="327"/>
      <c r="CL150" s="327"/>
      <c r="CM150" s="327"/>
      <c r="CN150" s="327"/>
      <c r="CO150" s="327"/>
      <c r="CP150" s="327"/>
      <c r="CQ150" s="327"/>
      <c r="CR150" s="327"/>
      <c r="CS150" s="327"/>
      <c r="CT150" s="327"/>
      <c r="CU150" s="327"/>
      <c r="CV150" s="327"/>
      <c r="CW150" s="327"/>
      <c r="CX150" s="327"/>
      <c r="CY150" s="327"/>
    </row>
    <row r="151" spans="2:103" x14ac:dyDescent="0.25">
      <c r="B151" s="273" t="s">
        <v>572</v>
      </c>
      <c r="C151" s="273" t="s">
        <v>169</v>
      </c>
      <c r="D151" s="237">
        <f>CombAlterHEFA!D164</f>
        <v>0</v>
      </c>
      <c r="E151" s="237"/>
      <c r="F151" s="238">
        <f>D151*'Dados auxiliares'!$H$115</f>
        <v>0</v>
      </c>
      <c r="G151" s="590"/>
      <c r="H151" s="142" t="e">
        <f t="shared" si="31"/>
        <v>#DIV/0!</v>
      </c>
      <c r="I151" s="142" t="e">
        <f t="shared" si="27"/>
        <v>#DIV/0!</v>
      </c>
      <c r="J151" s="142" t="e">
        <f t="shared" si="28"/>
        <v>#DIV/0!</v>
      </c>
      <c r="CA151" s="351"/>
      <c r="CB151" s="327"/>
      <c r="CC151" s="327"/>
      <c r="CD151" s="327"/>
      <c r="CE151" s="327"/>
      <c r="CF151" s="327"/>
      <c r="CG151" s="327"/>
      <c r="CH151" s="327"/>
      <c r="CI151" s="327"/>
      <c r="CJ151" s="327"/>
      <c r="CK151" s="327"/>
      <c r="CL151" s="327"/>
      <c r="CM151" s="327"/>
      <c r="CN151" s="327"/>
      <c r="CO151" s="327"/>
      <c r="CP151" s="327"/>
      <c r="CQ151" s="327"/>
      <c r="CR151" s="327"/>
      <c r="CS151" s="327"/>
      <c r="CT151" s="327"/>
      <c r="CU151" s="327"/>
      <c r="CV151" s="327"/>
      <c r="CW151" s="327"/>
      <c r="CX151" s="327"/>
      <c r="CY151" s="327"/>
    </row>
    <row r="152" spans="2:103" ht="18" x14ac:dyDescent="0.25">
      <c r="B152" s="273" t="s">
        <v>106</v>
      </c>
      <c r="C152" s="273" t="s">
        <v>506</v>
      </c>
      <c r="D152" s="278">
        <f>CombAlterHEFA!$D$166*(1-CombAlterHEFA!$D$167)</f>
        <v>0</v>
      </c>
      <c r="E152" s="259"/>
      <c r="F152" s="278">
        <f>D152*'Dados auxiliares'!$H$123</f>
        <v>0</v>
      </c>
      <c r="G152" s="598"/>
      <c r="H152" s="142" t="e">
        <f t="shared" si="31"/>
        <v>#DIV/0!</v>
      </c>
      <c r="I152" s="142" t="e">
        <f t="shared" si="27"/>
        <v>#DIV/0!</v>
      </c>
      <c r="J152" s="142" t="e">
        <f t="shared" si="28"/>
        <v>#DIV/0!</v>
      </c>
      <c r="CA152" s="351"/>
      <c r="CB152" s="327"/>
      <c r="CC152" s="327"/>
      <c r="CD152" s="327"/>
      <c r="CE152" s="327"/>
      <c r="CF152" s="327"/>
      <c r="CG152" s="327"/>
      <c r="CH152" s="327"/>
      <c r="CI152" s="327"/>
      <c r="CJ152" s="327"/>
      <c r="CK152" s="327"/>
      <c r="CL152" s="327"/>
      <c r="CM152" s="327"/>
      <c r="CN152" s="327"/>
      <c r="CO152" s="327"/>
      <c r="CP152" s="327"/>
      <c r="CQ152" s="327"/>
      <c r="CR152" s="327"/>
      <c r="CS152" s="327"/>
      <c r="CT152" s="327"/>
      <c r="CU152" s="327"/>
      <c r="CV152" s="327"/>
      <c r="CW152" s="327"/>
      <c r="CX152" s="327"/>
      <c r="CY152" s="327"/>
    </row>
    <row r="153" spans="2:103" x14ac:dyDescent="0.25">
      <c r="B153" s="273" t="s">
        <v>500</v>
      </c>
      <c r="C153" s="273" t="s">
        <v>47</v>
      </c>
      <c r="D153" s="278">
        <f>((D152/1000)*CombAlterHEFA!$D$168)</f>
        <v>0</v>
      </c>
      <c r="E153" s="259"/>
      <c r="F153" s="278">
        <f>D153*'Dados auxiliares'!$H$131</f>
        <v>0</v>
      </c>
      <c r="G153" s="598"/>
      <c r="H153" s="142" t="e">
        <f t="shared" si="31"/>
        <v>#DIV/0!</v>
      </c>
      <c r="I153" s="142" t="e">
        <f t="shared" si="27"/>
        <v>#DIV/0!</v>
      </c>
      <c r="J153" s="142" t="e">
        <f t="shared" si="28"/>
        <v>#DIV/0!</v>
      </c>
      <c r="CA153" s="351"/>
      <c r="CB153" s="327"/>
      <c r="CC153" s="327"/>
      <c r="CD153" s="327"/>
      <c r="CE153" s="327"/>
      <c r="CF153" s="327"/>
      <c r="CG153" s="327"/>
      <c r="CH153" s="327"/>
      <c r="CI153" s="327"/>
      <c r="CJ153" s="327"/>
      <c r="CK153" s="327"/>
      <c r="CL153" s="327"/>
      <c r="CM153" s="327"/>
      <c r="CN153" s="327"/>
      <c r="CO153" s="327"/>
      <c r="CP153" s="327"/>
      <c r="CQ153" s="327"/>
      <c r="CR153" s="327"/>
      <c r="CS153" s="327"/>
      <c r="CT153" s="327"/>
      <c r="CU153" s="327"/>
      <c r="CV153" s="327"/>
      <c r="CW153" s="327"/>
      <c r="CX153" s="327"/>
      <c r="CY153" s="327"/>
    </row>
    <row r="154" spans="2:103" ht="18" x14ac:dyDescent="0.25">
      <c r="B154" s="273" t="s">
        <v>347</v>
      </c>
      <c r="C154" s="273" t="s">
        <v>506</v>
      </c>
      <c r="D154" s="278">
        <f>CombAlterHEFA!$D$170*(1-CombAlterHEFA!$D$171)</f>
        <v>0</v>
      </c>
      <c r="E154" s="259"/>
      <c r="F154" s="278">
        <f>D154*'Dados auxiliares'!$H$124</f>
        <v>0</v>
      </c>
      <c r="G154" s="598"/>
      <c r="H154" s="142" t="e">
        <f t="shared" si="31"/>
        <v>#DIV/0!</v>
      </c>
      <c r="I154" s="142" t="e">
        <f t="shared" si="27"/>
        <v>#DIV/0!</v>
      </c>
      <c r="J154" s="142" t="e">
        <f t="shared" si="28"/>
        <v>#DIV/0!</v>
      </c>
      <c r="CA154" s="351"/>
      <c r="CB154" s="327"/>
      <c r="CC154" s="327"/>
      <c r="CD154" s="327"/>
      <c r="CE154" s="327"/>
      <c r="CF154" s="327"/>
      <c r="CG154" s="327"/>
      <c r="CH154" s="327"/>
      <c r="CI154" s="327"/>
      <c r="CJ154" s="327"/>
      <c r="CK154" s="327"/>
      <c r="CL154" s="327"/>
      <c r="CM154" s="327"/>
      <c r="CN154" s="327"/>
      <c r="CO154" s="327"/>
      <c r="CP154" s="327"/>
      <c r="CQ154" s="327"/>
      <c r="CR154" s="327"/>
      <c r="CS154" s="327"/>
      <c r="CT154" s="327"/>
      <c r="CU154" s="327"/>
      <c r="CV154" s="327"/>
      <c r="CW154" s="327"/>
      <c r="CX154" s="327"/>
      <c r="CY154" s="327"/>
    </row>
    <row r="155" spans="2:103" x14ac:dyDescent="0.25">
      <c r="B155" s="273" t="s">
        <v>503</v>
      </c>
      <c r="C155" s="273" t="s">
        <v>47</v>
      </c>
      <c r="D155" s="278">
        <f>((D154/1000)*CombAlterHEFA!$D$172)</f>
        <v>0</v>
      </c>
      <c r="E155" s="259"/>
      <c r="F155" s="278">
        <f>D155*'Dados auxiliares'!$H$131</f>
        <v>0</v>
      </c>
      <c r="G155" s="598"/>
      <c r="H155" s="142" t="e">
        <f t="shared" si="31"/>
        <v>#DIV/0!</v>
      </c>
      <c r="I155" s="142" t="e">
        <f t="shared" si="27"/>
        <v>#DIV/0!</v>
      </c>
      <c r="J155" s="142" t="e">
        <f t="shared" si="28"/>
        <v>#DIV/0!</v>
      </c>
      <c r="CA155" s="351"/>
      <c r="CB155" s="327"/>
      <c r="CC155" s="327"/>
      <c r="CD155" s="327"/>
      <c r="CE155" s="327"/>
      <c r="CF155" s="327"/>
      <c r="CG155" s="327"/>
      <c r="CH155" s="327"/>
      <c r="CI155" s="327"/>
      <c r="CJ155" s="327"/>
      <c r="CK155" s="327"/>
      <c r="CL155" s="327"/>
      <c r="CM155" s="327"/>
      <c r="CN155" s="327"/>
      <c r="CO155" s="327"/>
      <c r="CP155" s="327"/>
      <c r="CQ155" s="327"/>
      <c r="CR155" s="327"/>
      <c r="CS155" s="327"/>
      <c r="CT155" s="327"/>
      <c r="CU155" s="327"/>
      <c r="CV155" s="327"/>
      <c r="CW155" s="327"/>
      <c r="CX155" s="327"/>
      <c r="CY155" s="327"/>
    </row>
    <row r="156" spans="2:103" ht="18" x14ac:dyDescent="0.25">
      <c r="B156" s="273" t="s">
        <v>466</v>
      </c>
      <c r="C156" s="273" t="s">
        <v>506</v>
      </c>
      <c r="D156" s="278">
        <f>CombAlterHEFA!$D$174*(1-CombAlterHEFA!$D$175)</f>
        <v>0</v>
      </c>
      <c r="E156" s="259"/>
      <c r="F156" s="277">
        <v>0</v>
      </c>
      <c r="G156" s="544"/>
      <c r="H156" s="142" t="e">
        <f t="shared" si="31"/>
        <v>#DIV/0!</v>
      </c>
      <c r="I156" s="142" t="e">
        <f t="shared" si="27"/>
        <v>#DIV/0!</v>
      </c>
      <c r="J156" s="142" t="e">
        <f t="shared" si="28"/>
        <v>#DIV/0!</v>
      </c>
      <c r="CA156" s="351"/>
      <c r="CB156" s="327"/>
      <c r="CC156" s="327"/>
      <c r="CD156" s="327"/>
      <c r="CE156" s="327"/>
      <c r="CF156" s="327"/>
      <c r="CG156" s="327"/>
      <c r="CH156" s="327"/>
      <c r="CI156" s="327"/>
      <c r="CJ156" s="327"/>
      <c r="CK156" s="327"/>
      <c r="CL156" s="327"/>
      <c r="CM156" s="327"/>
      <c r="CN156" s="327"/>
      <c r="CO156" s="327"/>
      <c r="CP156" s="327"/>
      <c r="CQ156" s="327"/>
      <c r="CR156" s="327"/>
      <c r="CS156" s="327"/>
      <c r="CT156" s="327"/>
      <c r="CU156" s="327"/>
      <c r="CV156" s="327"/>
      <c r="CW156" s="327"/>
      <c r="CX156" s="327"/>
      <c r="CY156" s="327"/>
    </row>
    <row r="157" spans="2:103" x14ac:dyDescent="0.25">
      <c r="B157" s="273" t="s">
        <v>504</v>
      </c>
      <c r="C157" s="273" t="s">
        <v>47</v>
      </c>
      <c r="D157" s="278">
        <f>((D156/1000)*CombAlterHEFA!$D$176)</f>
        <v>0</v>
      </c>
      <c r="E157" s="259"/>
      <c r="F157" s="278">
        <f>D157*'Dados auxiliares'!$H$131</f>
        <v>0</v>
      </c>
      <c r="G157" s="598"/>
      <c r="H157" s="142" t="e">
        <f t="shared" si="31"/>
        <v>#DIV/0!</v>
      </c>
      <c r="I157" s="142" t="e">
        <f t="shared" si="27"/>
        <v>#DIV/0!</v>
      </c>
      <c r="J157" s="142" t="e">
        <f t="shared" si="28"/>
        <v>#DIV/0!</v>
      </c>
      <c r="CA157" s="351"/>
      <c r="CB157" s="327"/>
      <c r="CC157" s="327"/>
      <c r="CD157" s="327"/>
      <c r="CE157" s="327"/>
      <c r="CF157" s="327"/>
      <c r="CG157" s="327"/>
      <c r="CH157" s="327"/>
      <c r="CI157" s="327"/>
      <c r="CJ157" s="327"/>
      <c r="CK157" s="327"/>
      <c r="CL157" s="327"/>
      <c r="CM157" s="327"/>
      <c r="CN157" s="327"/>
      <c r="CO157" s="327"/>
      <c r="CP157" s="327"/>
      <c r="CQ157" s="327"/>
      <c r="CR157" s="327"/>
      <c r="CS157" s="327"/>
      <c r="CT157" s="327"/>
      <c r="CU157" s="327"/>
      <c r="CV157" s="327"/>
      <c r="CW157" s="327"/>
      <c r="CX157" s="327"/>
      <c r="CY157" s="327"/>
    </row>
    <row r="158" spans="2:103" ht="18" x14ac:dyDescent="0.25">
      <c r="B158" s="273" t="s">
        <v>575</v>
      </c>
      <c r="C158" s="273" t="s">
        <v>506</v>
      </c>
      <c r="D158" s="278">
        <f>CombAlterHEFA!$D$178*(1-CombAlterHEFA!$D$179)</f>
        <v>0</v>
      </c>
      <c r="E158" s="259"/>
      <c r="F158" s="277">
        <v>0</v>
      </c>
      <c r="G158" s="544"/>
      <c r="H158" s="142" t="e">
        <f t="shared" si="31"/>
        <v>#DIV/0!</v>
      </c>
      <c r="I158" s="142" t="e">
        <f t="shared" si="27"/>
        <v>#DIV/0!</v>
      </c>
      <c r="J158" s="142" t="e">
        <f t="shared" si="28"/>
        <v>#DIV/0!</v>
      </c>
      <c r="CA158" s="351"/>
      <c r="CB158" s="327"/>
      <c r="CC158" s="327"/>
      <c r="CD158" s="327"/>
      <c r="CE158" s="327"/>
      <c r="CF158" s="327"/>
      <c r="CG158" s="327"/>
      <c r="CH158" s="327"/>
      <c r="CI158" s="327"/>
      <c r="CJ158" s="327"/>
      <c r="CK158" s="327"/>
      <c r="CL158" s="327"/>
      <c r="CM158" s="327"/>
      <c r="CN158" s="327"/>
      <c r="CO158" s="327"/>
      <c r="CP158" s="327"/>
      <c r="CQ158" s="327"/>
      <c r="CR158" s="327"/>
      <c r="CS158" s="327"/>
      <c r="CT158" s="327"/>
      <c r="CU158" s="327"/>
      <c r="CV158" s="327"/>
      <c r="CW158" s="327"/>
      <c r="CX158" s="327"/>
      <c r="CY158" s="327"/>
    </row>
    <row r="159" spans="2:103" x14ac:dyDescent="0.25">
      <c r="B159" s="273" t="s">
        <v>576</v>
      </c>
      <c r="C159" s="273" t="s">
        <v>47</v>
      </c>
      <c r="D159" s="278">
        <f>((D158/1000)*CombAlterHEFA!$D$180)</f>
        <v>0</v>
      </c>
      <c r="E159" s="259"/>
      <c r="F159" s="278">
        <f>D159*'Dados auxiliares'!$H$131</f>
        <v>0</v>
      </c>
      <c r="G159" s="598"/>
      <c r="H159" s="142" t="e">
        <f t="shared" si="31"/>
        <v>#DIV/0!</v>
      </c>
      <c r="I159" s="142" t="e">
        <f t="shared" si="27"/>
        <v>#DIV/0!</v>
      </c>
      <c r="J159" s="142" t="e">
        <f t="shared" si="28"/>
        <v>#DIV/0!</v>
      </c>
      <c r="CA159" s="351"/>
      <c r="CB159" s="327"/>
      <c r="CC159" s="327"/>
      <c r="CD159" s="327"/>
      <c r="CE159" s="327"/>
      <c r="CF159" s="327"/>
      <c r="CG159" s="327"/>
      <c r="CH159" s="327"/>
      <c r="CI159" s="327"/>
      <c r="CJ159" s="327"/>
      <c r="CK159" s="327"/>
      <c r="CL159" s="327"/>
      <c r="CM159" s="327"/>
      <c r="CN159" s="327"/>
      <c r="CO159" s="327"/>
      <c r="CP159" s="327"/>
      <c r="CQ159" s="327"/>
      <c r="CR159" s="327"/>
      <c r="CS159" s="327"/>
      <c r="CT159" s="327"/>
      <c r="CU159" s="327"/>
      <c r="CV159" s="327"/>
      <c r="CW159" s="327"/>
      <c r="CX159" s="327"/>
      <c r="CY159" s="327"/>
    </row>
    <row r="160" spans="2:103" ht="18" x14ac:dyDescent="0.25">
      <c r="B160" s="273" t="s">
        <v>577</v>
      </c>
      <c r="C160" s="273" t="s">
        <v>506</v>
      </c>
      <c r="D160" s="278">
        <f>CombAlterHEFA!$D$182*(1-CombAlterHEFA!$D$183)</f>
        <v>0</v>
      </c>
      <c r="E160" s="259"/>
      <c r="F160" s="278">
        <f>D160*'Dados auxiliares'!$H$78</f>
        <v>0</v>
      </c>
      <c r="G160" s="598"/>
      <c r="H160" s="142" t="e">
        <f t="shared" si="31"/>
        <v>#DIV/0!</v>
      </c>
      <c r="I160" s="142" t="e">
        <f t="shared" si="27"/>
        <v>#DIV/0!</v>
      </c>
      <c r="J160" s="142" t="e">
        <f t="shared" si="28"/>
        <v>#DIV/0!</v>
      </c>
      <c r="CA160" s="351"/>
      <c r="CB160" s="327"/>
      <c r="CC160" s="327"/>
      <c r="CD160" s="327"/>
      <c r="CE160" s="327"/>
      <c r="CF160" s="327"/>
      <c r="CG160" s="327"/>
      <c r="CH160" s="327"/>
      <c r="CI160" s="327"/>
      <c r="CJ160" s="327"/>
      <c r="CK160" s="327"/>
      <c r="CL160" s="327"/>
      <c r="CM160" s="327"/>
      <c r="CN160" s="327"/>
      <c r="CO160" s="327"/>
      <c r="CP160" s="327"/>
      <c r="CQ160" s="327"/>
      <c r="CR160" s="327"/>
      <c r="CS160" s="327"/>
      <c r="CT160" s="327"/>
      <c r="CU160" s="327"/>
      <c r="CV160" s="327"/>
      <c r="CW160" s="327"/>
      <c r="CX160" s="327"/>
      <c r="CY160" s="327"/>
    </row>
    <row r="161" spans="2:103" x14ac:dyDescent="0.25">
      <c r="B161" s="273" t="s">
        <v>578</v>
      </c>
      <c r="C161" s="273" t="s">
        <v>47</v>
      </c>
      <c r="D161" s="278">
        <f>((D160/1000)*CombAlterHEFA!$D$184)</f>
        <v>0</v>
      </c>
      <c r="E161" s="259"/>
      <c r="F161" s="278">
        <f>D161*'Dados auxiliares'!$H$131</f>
        <v>0</v>
      </c>
      <c r="G161" s="598"/>
      <c r="H161" s="550" t="e">
        <f t="shared" si="31"/>
        <v>#DIV/0!</v>
      </c>
      <c r="I161" s="550" t="e">
        <f t="shared" si="27"/>
        <v>#DIV/0!</v>
      </c>
      <c r="J161" s="550" t="e">
        <f t="shared" si="28"/>
        <v>#DIV/0!</v>
      </c>
      <c r="CA161" s="351"/>
      <c r="CB161" s="327"/>
      <c r="CC161" s="327"/>
      <c r="CD161" s="327"/>
      <c r="CE161" s="327"/>
      <c r="CF161" s="327"/>
      <c r="CG161" s="327"/>
      <c r="CH161" s="327"/>
      <c r="CI161" s="327"/>
      <c r="CJ161" s="327"/>
      <c r="CK161" s="327"/>
      <c r="CL161" s="327"/>
      <c r="CM161" s="327"/>
      <c r="CN161" s="327"/>
      <c r="CO161" s="327"/>
      <c r="CP161" s="327"/>
      <c r="CQ161" s="327"/>
      <c r="CR161" s="327"/>
      <c r="CS161" s="327"/>
      <c r="CT161" s="327"/>
      <c r="CU161" s="327"/>
      <c r="CV161" s="327"/>
      <c r="CW161" s="327"/>
      <c r="CX161" s="327"/>
      <c r="CY161" s="327"/>
    </row>
    <row r="162" spans="2:103" ht="18" x14ac:dyDescent="0.25">
      <c r="B162" s="338" t="s">
        <v>52</v>
      </c>
      <c r="C162" s="306" t="s">
        <v>0</v>
      </c>
      <c r="D162" s="306" t="s">
        <v>593</v>
      </c>
      <c r="E162" s="282"/>
      <c r="F162" s="283" t="s">
        <v>594</v>
      </c>
      <c r="G162" s="272"/>
      <c r="H162" s="283" t="s">
        <v>535</v>
      </c>
      <c r="I162" s="283" t="s">
        <v>535</v>
      </c>
      <c r="J162" s="283" t="s">
        <v>535</v>
      </c>
    </row>
    <row r="163" spans="2:103" x14ac:dyDescent="0.25">
      <c r="B163" s="273" t="s">
        <v>437</v>
      </c>
      <c r="C163" s="273" t="s">
        <v>1</v>
      </c>
      <c r="D163" s="278">
        <f>D147*'FE''s queima combustíveis'!$I$50/1000</f>
        <v>0</v>
      </c>
      <c r="E163" s="259"/>
      <c r="F163" s="238">
        <f t="shared" ref="F163:F174" si="37">D163*1000</f>
        <v>0</v>
      </c>
      <c r="G163" s="590"/>
      <c r="H163" s="550" t="e">
        <f>(((F163*$F$76)/$D$76)*1000*$F$130)/$E$130</f>
        <v>#DIV/0!</v>
      </c>
      <c r="I163" s="550" t="e">
        <f t="shared" si="27"/>
        <v>#DIV/0!</v>
      </c>
      <c r="J163" s="550" t="e">
        <f t="shared" si="28"/>
        <v>#DIV/0!</v>
      </c>
    </row>
    <row r="164" spans="2:103" x14ac:dyDescent="0.25">
      <c r="B164" s="273" t="s">
        <v>443</v>
      </c>
      <c r="C164" s="273" t="s">
        <v>1</v>
      </c>
      <c r="D164" s="278">
        <f>D148*'FE''s queima combustíveis'!$I$51/1000</f>
        <v>0</v>
      </c>
      <c r="E164" s="259"/>
      <c r="F164" s="238">
        <f t="shared" si="37"/>
        <v>0</v>
      </c>
      <c r="G164" s="590"/>
      <c r="H164" s="550" t="e">
        <f>(((F164*$F$76)/$D$76)*1000*$F$130)/$E$130</f>
        <v>#DIV/0!</v>
      </c>
      <c r="I164" s="550" t="e">
        <f t="shared" si="27"/>
        <v>#DIV/0!</v>
      </c>
      <c r="J164" s="550" t="e">
        <f t="shared" si="28"/>
        <v>#DIV/0!</v>
      </c>
      <c r="L164" s="343"/>
      <c r="M164" s="343"/>
      <c r="N164" s="343"/>
    </row>
    <row r="165" spans="2:103" x14ac:dyDescent="0.25">
      <c r="B165" s="273" t="s">
        <v>848</v>
      </c>
      <c r="C165" s="273" t="s">
        <v>1</v>
      </c>
      <c r="D165" s="278">
        <f>D149*'FE''s queima combustíveis'!$I$53/1000</f>
        <v>0</v>
      </c>
      <c r="E165" s="259"/>
      <c r="F165" s="238">
        <f>D165*1000</f>
        <v>0</v>
      </c>
      <c r="G165" s="590"/>
      <c r="H165" s="550" t="e">
        <f>(((F165*$F$76)/$D$76)*1000*$F$130)/$E$130</f>
        <v>#DIV/0!</v>
      </c>
      <c r="I165" s="550" t="e">
        <f t="shared" ref="I165:I167" si="38">(F165*$F$131)/$E$131</f>
        <v>#DIV/0!</v>
      </c>
      <c r="J165" s="550" t="e">
        <f>(F165*$F$132)/$E$132</f>
        <v>#DIV/0!</v>
      </c>
      <c r="L165" s="321"/>
      <c r="M165" s="321"/>
      <c r="N165" s="321"/>
    </row>
    <row r="166" spans="2:103" x14ac:dyDescent="0.25">
      <c r="B166" s="273" t="s">
        <v>926</v>
      </c>
      <c r="C166" s="273" t="s">
        <v>1</v>
      </c>
      <c r="D166" s="278">
        <f>CombAlterHEFA!D161*CombAlterHEFA!G161*'FE''s queima combustíveis'!$I$41/1000</f>
        <v>0</v>
      </c>
      <c r="E166" s="259"/>
      <c r="F166" s="238">
        <f t="shared" ref="F166:F167" si="39">D166*1000</f>
        <v>0</v>
      </c>
      <c r="G166" s="590"/>
      <c r="H166" s="550" t="e">
        <f t="shared" ref="H166:H167" si="40">(((F166*$F$76)/$D$76)*1000*$F$130)/$E$130</f>
        <v>#DIV/0!</v>
      </c>
      <c r="I166" s="550" t="e">
        <f t="shared" si="38"/>
        <v>#DIV/0!</v>
      </c>
      <c r="J166" s="550" t="e">
        <f t="shared" ref="J166:J167" si="41">(F166*$F$132)/$E$132</f>
        <v>#DIV/0!</v>
      </c>
      <c r="L166" s="321"/>
      <c r="M166" s="321"/>
      <c r="N166" s="321"/>
    </row>
    <row r="167" spans="2:103" x14ac:dyDescent="0.25">
      <c r="B167" s="273" t="s">
        <v>925</v>
      </c>
      <c r="C167" s="273" t="s">
        <v>1</v>
      </c>
      <c r="D167" s="278">
        <f>CombAlterHEFA!D162*CombAlterHEFA!G162*'FE''s queima combustíveis'!$I$41/1000</f>
        <v>0</v>
      </c>
      <c r="E167" s="259"/>
      <c r="F167" s="238">
        <f t="shared" si="39"/>
        <v>0</v>
      </c>
      <c r="G167" s="590"/>
      <c r="H167" s="550" t="e">
        <f t="shared" si="40"/>
        <v>#DIV/0!</v>
      </c>
      <c r="I167" s="550" t="e">
        <f t="shared" si="38"/>
        <v>#DIV/0!</v>
      </c>
      <c r="J167" s="550" t="e">
        <f t="shared" si="41"/>
        <v>#DIV/0!</v>
      </c>
      <c r="L167" s="326"/>
      <c r="M167" s="331"/>
    </row>
    <row r="168" spans="2:103" x14ac:dyDescent="0.25">
      <c r="B168" s="273" t="s">
        <v>581</v>
      </c>
      <c r="C168" s="273" t="s">
        <v>1</v>
      </c>
      <c r="D168" s="278">
        <f>D151*'FE''s queima combustíveis'!$I$46*('Dados auxiliares'!$D$27/1000)/1000</f>
        <v>0</v>
      </c>
      <c r="E168" s="259"/>
      <c r="F168" s="238">
        <f t="shared" si="37"/>
        <v>0</v>
      </c>
      <c r="G168" s="590"/>
      <c r="H168" s="550" t="e">
        <f>(((F168*$F$76)/$D$76)*1000*$F$130)/$E$130</f>
        <v>#DIV/0!</v>
      </c>
      <c r="I168" s="550" t="e">
        <f t="shared" si="27"/>
        <v>#DIV/0!</v>
      </c>
      <c r="J168" s="550" t="e">
        <f t="shared" si="28"/>
        <v>#DIV/0!</v>
      </c>
      <c r="L168" s="333"/>
      <c r="M168" s="331"/>
    </row>
    <row r="169" spans="2:103" x14ac:dyDescent="0.25">
      <c r="B169" s="273" t="s">
        <v>853</v>
      </c>
      <c r="C169" s="273" t="s">
        <v>1</v>
      </c>
      <c r="D169" s="278">
        <f>CombAlterHEFA!D163*CombAlterHEFA!G163*'FE''s queima combustíveis'!$I$44/1000</f>
        <v>0</v>
      </c>
      <c r="E169" s="259"/>
      <c r="F169" s="238">
        <f t="shared" ref="F169" si="42">D169*1000</f>
        <v>0</v>
      </c>
      <c r="G169" s="590"/>
      <c r="H169" s="550" t="e">
        <f t="shared" ref="H169" si="43">(((F169*$F$76)/$D$76)*1000*$F$130)/$E$130</f>
        <v>#DIV/0!</v>
      </c>
      <c r="I169" s="550" t="e">
        <f t="shared" ref="I169" si="44">(F169*$F$131)/$E$131</f>
        <v>#DIV/0!</v>
      </c>
      <c r="J169" s="550" t="e">
        <f t="shared" ref="J169" si="45">(F169*$F$132)/$E$132</f>
        <v>#DIV/0!</v>
      </c>
      <c r="L169" s="333"/>
      <c r="M169" s="333"/>
      <c r="N169" s="333"/>
    </row>
    <row r="170" spans="2:103" x14ac:dyDescent="0.25">
      <c r="B170" s="273" t="s">
        <v>582</v>
      </c>
      <c r="C170" s="273" t="s">
        <v>1</v>
      </c>
      <c r="D170" s="278">
        <f>D158*'FE''s queima combustíveis'!$I$36/1000</f>
        <v>0</v>
      </c>
      <c r="E170" s="259"/>
      <c r="F170" s="238">
        <f t="shared" si="37"/>
        <v>0</v>
      </c>
      <c r="G170" s="590"/>
      <c r="H170" s="550" t="e">
        <f>(((F170*$F$76)/$D$76)*1000*$F$130)/$E$130</f>
        <v>#DIV/0!</v>
      </c>
      <c r="I170" s="550" t="e">
        <f t="shared" si="27"/>
        <v>#DIV/0!</v>
      </c>
      <c r="J170" s="550" t="e">
        <f t="shared" si="28"/>
        <v>#DIV/0!</v>
      </c>
      <c r="L170" s="333"/>
      <c r="M170" s="333"/>
      <c r="N170" s="333"/>
    </row>
    <row r="171" spans="2:103" x14ac:dyDescent="0.25">
      <c r="B171" s="273" t="s">
        <v>583</v>
      </c>
      <c r="C171" s="273" t="s">
        <v>1</v>
      </c>
      <c r="D171" s="278">
        <f>D160*'FE''s queima combustíveis'!$I$37/1000</f>
        <v>0</v>
      </c>
      <c r="E171" s="259"/>
      <c r="F171" s="238">
        <f t="shared" si="37"/>
        <v>0</v>
      </c>
      <c r="G171" s="590"/>
      <c r="H171" s="550" t="e">
        <f>(((F171*$F$76)/$D$76)*1000*$F$130)/$E$130</f>
        <v>#DIV/0!</v>
      </c>
      <c r="I171" s="550" t="e">
        <f t="shared" si="27"/>
        <v>#DIV/0!</v>
      </c>
      <c r="J171" s="550" t="e">
        <f t="shared" si="28"/>
        <v>#DIV/0!</v>
      </c>
      <c r="L171" s="333"/>
      <c r="M171" s="333"/>
      <c r="N171" s="333"/>
    </row>
    <row r="172" spans="2:103" x14ac:dyDescent="0.25">
      <c r="B172" s="273" t="s">
        <v>520</v>
      </c>
      <c r="C172" s="273" t="s">
        <v>1</v>
      </c>
      <c r="D172" s="278">
        <f>D152*'FE''s queima combustíveis'!$I$38/1000</f>
        <v>0</v>
      </c>
      <c r="E172" s="259"/>
      <c r="F172" s="238">
        <f t="shared" si="37"/>
        <v>0</v>
      </c>
      <c r="G172" s="590"/>
      <c r="H172" s="550" t="e">
        <f>(((F172*$F$76)/$D$76)*1000*$F$130)/$E$130</f>
        <v>#DIV/0!</v>
      </c>
      <c r="I172" s="550" t="e">
        <f t="shared" si="27"/>
        <v>#DIV/0!</v>
      </c>
      <c r="J172" s="550" t="e">
        <f t="shared" si="28"/>
        <v>#DIV/0!</v>
      </c>
      <c r="L172" s="333"/>
      <c r="M172" s="333"/>
      <c r="N172" s="333"/>
    </row>
    <row r="173" spans="2:103" x14ac:dyDescent="0.25">
      <c r="B173" s="273" t="s">
        <v>518</v>
      </c>
      <c r="C173" s="273" t="s">
        <v>1</v>
      </c>
      <c r="D173" s="278">
        <f>D154*'FE''s queima combustíveis'!$I$39/1000</f>
        <v>0</v>
      </c>
      <c r="E173" s="259"/>
      <c r="F173" s="238">
        <f t="shared" si="37"/>
        <v>0</v>
      </c>
      <c r="G173" s="590"/>
      <c r="H173" s="550" t="e">
        <f>(((F173*$F$76)/$D$76)*1000*$F$130)/$E$130</f>
        <v>#DIV/0!</v>
      </c>
      <c r="I173" s="550" t="e">
        <f t="shared" si="27"/>
        <v>#DIV/0!</v>
      </c>
      <c r="J173" s="550" t="e">
        <f t="shared" si="28"/>
        <v>#DIV/0!</v>
      </c>
      <c r="L173" s="333"/>
      <c r="M173" s="333"/>
      <c r="N173" s="333"/>
    </row>
    <row r="174" spans="2:103" x14ac:dyDescent="0.25">
      <c r="B174" s="273" t="s">
        <v>519</v>
      </c>
      <c r="C174" s="273" t="s">
        <v>1</v>
      </c>
      <c r="D174" s="278">
        <f>D156*'FE''s queima combustíveis'!$I$40/1000</f>
        <v>0</v>
      </c>
      <c r="E174" s="259"/>
      <c r="F174" s="238">
        <f t="shared" si="37"/>
        <v>0</v>
      </c>
      <c r="G174" s="590"/>
      <c r="H174" s="550" t="e">
        <f>(((F174*$F$76)/$D$76)*1000*$F$130)/$E$130</f>
        <v>#DIV/0!</v>
      </c>
      <c r="I174" s="550" t="e">
        <f t="shared" si="27"/>
        <v>#DIV/0!</v>
      </c>
      <c r="J174" s="550" t="e">
        <f t="shared" si="28"/>
        <v>#DIV/0!</v>
      </c>
      <c r="L174" s="333"/>
      <c r="M174" s="333"/>
      <c r="N174" s="333"/>
    </row>
    <row r="175" spans="2:103" x14ac:dyDescent="0.25">
      <c r="B175" s="315"/>
      <c r="C175" s="315"/>
      <c r="D175" s="315"/>
      <c r="E175" s="315"/>
      <c r="F175" s="315"/>
      <c r="H175" s="315"/>
      <c r="L175" s="333"/>
      <c r="M175" s="333"/>
      <c r="N175" s="333"/>
    </row>
    <row r="176" spans="2:103" ht="18" x14ac:dyDescent="0.25">
      <c r="B176" s="276" t="s">
        <v>54</v>
      </c>
      <c r="C176" s="274" t="s">
        <v>595</v>
      </c>
      <c r="D176" s="274"/>
      <c r="E176" s="275"/>
      <c r="F176" s="290">
        <f>SUM(F163:F174)</f>
        <v>0</v>
      </c>
      <c r="G176" s="597"/>
      <c r="H176" s="290" t="e">
        <f t="shared" ref="H176:H178" si="46">(F176*$F$130)/$E$130</f>
        <v>#DIV/0!</v>
      </c>
      <c r="I176" s="290" t="e">
        <f t="shared" ref="I176:I178" si="47">(F176*$F$131)/$E$131</f>
        <v>#DIV/0!</v>
      </c>
      <c r="J176" s="290" t="e">
        <f t="shared" ref="J176:J178" si="48">(F176*$F$132)/$E$132</f>
        <v>#DIV/0!</v>
      </c>
      <c r="L176" s="333"/>
      <c r="M176" s="333"/>
      <c r="N176" s="333"/>
    </row>
    <row r="177" spans="2:14" ht="18" x14ac:dyDescent="0.25">
      <c r="B177" s="276" t="s">
        <v>61</v>
      </c>
      <c r="C177" s="274" t="s">
        <v>595</v>
      </c>
      <c r="D177" s="274"/>
      <c r="E177" s="275"/>
      <c r="F177" s="290" t="e">
        <f>SUM(F136:F161)</f>
        <v>#DIV/0!</v>
      </c>
      <c r="G177" s="597"/>
      <c r="H177" s="290" t="e">
        <f t="shared" si="46"/>
        <v>#DIV/0!</v>
      </c>
      <c r="I177" s="290" t="e">
        <f t="shared" si="47"/>
        <v>#DIV/0!</v>
      </c>
      <c r="J177" s="290" t="e">
        <f t="shared" si="48"/>
        <v>#DIV/0!</v>
      </c>
      <c r="L177" s="333"/>
      <c r="M177" s="333"/>
      <c r="N177" s="333"/>
    </row>
    <row r="178" spans="2:14" ht="18" x14ac:dyDescent="0.25">
      <c r="B178" s="276" t="s">
        <v>55</v>
      </c>
      <c r="C178" s="274" t="s">
        <v>595</v>
      </c>
      <c r="D178" s="274"/>
      <c r="E178" s="275"/>
      <c r="F178" s="290" t="e">
        <f>F177+F176</f>
        <v>#DIV/0!</v>
      </c>
      <c r="G178" s="597"/>
      <c r="H178" s="290" t="e">
        <f t="shared" si="46"/>
        <v>#DIV/0!</v>
      </c>
      <c r="I178" s="290" t="e">
        <f t="shared" si="47"/>
        <v>#DIV/0!</v>
      </c>
      <c r="J178" s="290" t="e">
        <f t="shared" si="48"/>
        <v>#DIV/0!</v>
      </c>
      <c r="L178" s="333"/>
      <c r="M178" s="333"/>
      <c r="N178" s="333"/>
    </row>
    <row r="179" spans="2:14" x14ac:dyDescent="0.25">
      <c r="D179" s="330"/>
      <c r="H179" s="85"/>
      <c r="J179" s="88"/>
      <c r="L179" s="333"/>
      <c r="M179" s="333"/>
      <c r="N179" s="333"/>
    </row>
    <row r="180" spans="2:14" x14ac:dyDescent="0.25">
      <c r="B180" s="330"/>
      <c r="C180" s="330"/>
      <c r="D180" s="330"/>
      <c r="H180" s="85"/>
      <c r="J180" s="88"/>
      <c r="L180" s="333"/>
      <c r="M180" s="333"/>
      <c r="N180" s="333"/>
    </row>
    <row r="181" spans="2:14" ht="15" customHeight="1" x14ac:dyDescent="0.25">
      <c r="H181" s="85"/>
      <c r="J181" s="88"/>
      <c r="L181" s="333"/>
      <c r="M181" s="333"/>
      <c r="N181" s="333"/>
    </row>
    <row r="182" spans="2:14" ht="15" customHeight="1" x14ac:dyDescent="0.25">
      <c r="B182" s="737" t="s">
        <v>524</v>
      </c>
      <c r="C182" s="737"/>
      <c r="D182" s="737"/>
      <c r="E182" s="737"/>
      <c r="F182" s="737"/>
      <c r="G182" s="453"/>
      <c r="H182" s="85"/>
      <c r="J182" s="88"/>
      <c r="L182" s="333"/>
      <c r="M182" s="333"/>
      <c r="N182" s="333"/>
    </row>
    <row r="183" spans="2:14" ht="15" customHeight="1" x14ac:dyDescent="0.25">
      <c r="B183" s="573" t="s">
        <v>904</v>
      </c>
      <c r="C183" s="306"/>
      <c r="D183" s="306"/>
      <c r="E183" s="306"/>
      <c r="F183" s="306"/>
      <c r="G183" s="583"/>
      <c r="H183" s="85"/>
      <c r="J183" s="88"/>
      <c r="L183" s="333"/>
      <c r="M183" s="333"/>
      <c r="N183" s="333"/>
    </row>
    <row r="184" spans="2:14" ht="15" customHeight="1" x14ac:dyDescent="0.25">
      <c r="B184" s="300" t="s">
        <v>529</v>
      </c>
      <c r="C184" s="300" t="s">
        <v>0</v>
      </c>
      <c r="D184" s="300" t="s">
        <v>837</v>
      </c>
      <c r="E184" s="300" t="s">
        <v>838</v>
      </c>
      <c r="F184" s="300" t="s">
        <v>839</v>
      </c>
      <c r="G184" s="600"/>
      <c r="H184" s="85"/>
      <c r="J184" s="88"/>
      <c r="L184" s="333"/>
      <c r="M184" s="333"/>
      <c r="N184" s="333"/>
    </row>
    <row r="185" spans="2:14" ht="15" customHeight="1" x14ac:dyDescent="0.25">
      <c r="B185" s="273" t="s">
        <v>525</v>
      </c>
      <c r="C185" s="274" t="s">
        <v>596</v>
      </c>
      <c r="D185" s="607">
        <f>$D$130*CombAlterHEFA!$D$190</f>
        <v>0</v>
      </c>
      <c r="E185" s="607">
        <f>$D$131*CombAlterHEFA!$D$196</f>
        <v>0</v>
      </c>
      <c r="F185" s="607">
        <f>$D$132*CombAlterHEFA!$D$202</f>
        <v>0</v>
      </c>
      <c r="G185" s="598"/>
      <c r="H185" s="85"/>
      <c r="J185" s="88"/>
      <c r="L185" s="333"/>
      <c r="M185" s="333"/>
      <c r="N185" s="333"/>
    </row>
    <row r="186" spans="2:14" ht="15" customHeight="1" x14ac:dyDescent="0.25">
      <c r="B186" s="273" t="s">
        <v>531</v>
      </c>
      <c r="C186" s="273" t="s">
        <v>258</v>
      </c>
      <c r="D186" s="607">
        <f>'Dados auxiliares'!C160</f>
        <v>1500</v>
      </c>
      <c r="E186" s="607">
        <f>'Dados auxiliares'!C160</f>
        <v>1500</v>
      </c>
      <c r="F186" s="607">
        <f>'Dados auxiliares'!C160</f>
        <v>1500</v>
      </c>
      <c r="G186" s="544"/>
      <c r="H186" s="85"/>
      <c r="J186" s="88"/>
      <c r="L186" s="333"/>
      <c r="M186" s="333"/>
      <c r="N186" s="333"/>
    </row>
    <row r="187" spans="2:14" ht="15" customHeight="1" x14ac:dyDescent="0.25">
      <c r="B187" s="273" t="s">
        <v>528</v>
      </c>
      <c r="C187" s="274" t="s">
        <v>597</v>
      </c>
      <c r="D187" s="607">
        <f>D185/1000*D186</f>
        <v>0</v>
      </c>
      <c r="E187" s="607">
        <f t="shared" ref="E187:F187" si="49">E185/1000*E186</f>
        <v>0</v>
      </c>
      <c r="F187" s="607">
        <f t="shared" si="49"/>
        <v>0</v>
      </c>
      <c r="G187" s="598"/>
      <c r="H187" s="85"/>
      <c r="J187" s="88"/>
      <c r="L187" s="333"/>
      <c r="M187" s="333"/>
      <c r="N187" s="333"/>
    </row>
    <row r="188" spans="2:14" ht="15" customHeight="1" x14ac:dyDescent="0.25">
      <c r="B188" s="273" t="s">
        <v>52</v>
      </c>
      <c r="C188" s="274" t="s">
        <v>598</v>
      </c>
      <c r="D188" s="607">
        <f>D187*'Dados auxiliares'!$H$132</f>
        <v>0</v>
      </c>
      <c r="E188" s="607">
        <f>E187*'Dados auxiliares'!$H$132</f>
        <v>0</v>
      </c>
      <c r="F188" s="607">
        <f>F187*'Dados auxiliares'!$H$132</f>
        <v>0</v>
      </c>
      <c r="G188" s="598"/>
      <c r="H188" s="85"/>
      <c r="J188" s="88"/>
      <c r="L188" s="333"/>
      <c r="M188" s="333"/>
      <c r="N188" s="333"/>
    </row>
    <row r="189" spans="2:14" ht="15" customHeight="1" x14ac:dyDescent="0.25">
      <c r="B189" s="302" t="s">
        <v>52</v>
      </c>
      <c r="C189" s="303" t="s">
        <v>530</v>
      </c>
      <c r="D189" s="304" t="e">
        <f>D188/$E$130</f>
        <v>#DIV/0!</v>
      </c>
      <c r="E189" s="304" t="e">
        <f>E188/$E$131</f>
        <v>#DIV/0!</v>
      </c>
      <c r="F189" s="304" t="e">
        <f>F188/$E$132</f>
        <v>#DIV/0!</v>
      </c>
      <c r="G189" s="601"/>
      <c r="H189" s="85"/>
      <c r="J189" s="88"/>
      <c r="L189" s="333"/>
      <c r="M189" s="333"/>
      <c r="N189" s="333"/>
    </row>
    <row r="190" spans="2:14" ht="15" customHeight="1" x14ac:dyDescent="0.25">
      <c r="B190" s="573" t="s">
        <v>905</v>
      </c>
      <c r="C190" s="306"/>
      <c r="D190" s="306"/>
      <c r="E190" s="535"/>
      <c r="F190" s="535"/>
      <c r="G190" s="583"/>
      <c r="H190" s="85"/>
      <c r="J190" s="88"/>
      <c r="L190" s="333"/>
      <c r="M190" s="333"/>
      <c r="N190" s="333"/>
    </row>
    <row r="191" spans="2:14" ht="15" customHeight="1" x14ac:dyDescent="0.25">
      <c r="B191" s="300" t="s">
        <v>529</v>
      </c>
      <c r="C191" s="300" t="s">
        <v>0</v>
      </c>
      <c r="D191" s="300" t="s">
        <v>837</v>
      </c>
      <c r="E191" s="300" t="s">
        <v>838</v>
      </c>
      <c r="F191" s="300" t="s">
        <v>839</v>
      </c>
      <c r="G191" s="600"/>
      <c r="H191" s="85"/>
      <c r="J191" s="88"/>
      <c r="L191" s="333"/>
      <c r="M191" s="333"/>
      <c r="N191" s="333"/>
    </row>
    <row r="192" spans="2:14" ht="15" customHeight="1" x14ac:dyDescent="0.25">
      <c r="B192" s="273" t="s">
        <v>525</v>
      </c>
      <c r="C192" s="274" t="s">
        <v>596</v>
      </c>
      <c r="D192" s="278">
        <f>$D$130*CombAlterHEFA!D191</f>
        <v>0</v>
      </c>
      <c r="E192" s="278">
        <f>$D$131*CombAlterHEFA!$D$197</f>
        <v>0</v>
      </c>
      <c r="F192" s="278">
        <f>$D$132*CombAlterHEFA!$D$203</f>
        <v>0</v>
      </c>
      <c r="G192" s="598"/>
      <c r="H192" s="85"/>
      <c r="J192" s="88"/>
    </row>
    <row r="193" spans="2:10" ht="15" customHeight="1" x14ac:dyDescent="0.25">
      <c r="B193" s="273" t="s">
        <v>531</v>
      </c>
      <c r="C193" s="273" t="s">
        <v>258</v>
      </c>
      <c r="D193" s="278">
        <f>'Dados auxiliares'!E160</f>
        <v>600</v>
      </c>
      <c r="E193" s="278">
        <f>'Dados auxiliares'!E160</f>
        <v>600</v>
      </c>
      <c r="F193" s="278">
        <f>'Dados auxiliares'!E160</f>
        <v>600</v>
      </c>
      <c r="G193" s="544"/>
      <c r="H193" s="85"/>
      <c r="J193" s="88"/>
    </row>
    <row r="194" spans="2:10" ht="15" customHeight="1" x14ac:dyDescent="0.25">
      <c r="B194" s="273" t="s">
        <v>528</v>
      </c>
      <c r="C194" s="274" t="s">
        <v>597</v>
      </c>
      <c r="D194" s="278">
        <f>D192/1000*D193</f>
        <v>0</v>
      </c>
      <c r="E194" s="278">
        <f t="shared" ref="E194:F194" si="50">E192/1000*E193</f>
        <v>0</v>
      </c>
      <c r="F194" s="278">
        <f t="shared" si="50"/>
        <v>0</v>
      </c>
      <c r="G194" s="598"/>
      <c r="H194" s="85"/>
      <c r="J194" s="88"/>
    </row>
    <row r="195" spans="2:10" ht="15" customHeight="1" x14ac:dyDescent="0.25">
      <c r="B195" s="273" t="s">
        <v>532</v>
      </c>
      <c r="C195" s="273" t="s">
        <v>258</v>
      </c>
      <c r="D195" s="278">
        <f>'Dados auxiliares'!D160</f>
        <v>900</v>
      </c>
      <c r="E195" s="278">
        <f>'Dados auxiliares'!D160</f>
        <v>900</v>
      </c>
      <c r="F195" s="278">
        <f>'Dados auxiliares'!D160</f>
        <v>900</v>
      </c>
      <c r="G195" s="544"/>
      <c r="H195" s="85"/>
      <c r="J195" s="88"/>
    </row>
    <row r="196" spans="2:10" ht="15" customHeight="1" x14ac:dyDescent="0.25">
      <c r="B196" s="273" t="s">
        <v>533</v>
      </c>
      <c r="C196" s="274" t="s">
        <v>597</v>
      </c>
      <c r="D196" s="278">
        <f>D192/1000*D195</f>
        <v>0</v>
      </c>
      <c r="E196" s="278">
        <f t="shared" ref="E196:F196" si="51">E192/1000*E195</f>
        <v>0</v>
      </c>
      <c r="F196" s="278">
        <f t="shared" si="51"/>
        <v>0</v>
      </c>
      <c r="G196" s="598"/>
      <c r="H196" s="85"/>
      <c r="J196" s="88"/>
    </row>
    <row r="197" spans="2:10" ht="15" customHeight="1" x14ac:dyDescent="0.25">
      <c r="B197" s="273" t="s">
        <v>52</v>
      </c>
      <c r="C197" s="274" t="s">
        <v>598</v>
      </c>
      <c r="D197" s="278">
        <f>D194*'Dados auxiliares'!$H$132+D196*'Dados auxiliares'!$H$136</f>
        <v>0</v>
      </c>
      <c r="E197" s="278">
        <f>E194*'Dados auxiliares'!$H$132+E196*'Dados auxiliares'!$H$136</f>
        <v>0</v>
      </c>
      <c r="F197" s="278">
        <f>F194*'Dados auxiliares'!$H$132+F196*'Dados auxiliares'!$H$136</f>
        <v>0</v>
      </c>
      <c r="G197" s="598"/>
      <c r="H197" s="85"/>
      <c r="J197" s="88"/>
    </row>
    <row r="198" spans="2:10" ht="15" customHeight="1" x14ac:dyDescent="0.25">
      <c r="B198" s="302" t="s">
        <v>52</v>
      </c>
      <c r="C198" s="303" t="s">
        <v>530</v>
      </c>
      <c r="D198" s="304" t="e">
        <f>D197/$E$130</f>
        <v>#DIV/0!</v>
      </c>
      <c r="E198" s="304" t="e">
        <f t="shared" ref="E198:F198" si="52">E197/$E$130</f>
        <v>#DIV/0!</v>
      </c>
      <c r="F198" s="304" t="e">
        <f t="shared" si="52"/>
        <v>#DIV/0!</v>
      </c>
      <c r="G198" s="601"/>
      <c r="H198" s="85"/>
      <c r="J198" s="88"/>
    </row>
    <row r="199" spans="2:10" ht="15" customHeight="1" x14ac:dyDescent="0.25">
      <c r="B199" s="573" t="s">
        <v>906</v>
      </c>
      <c r="C199" s="306"/>
      <c r="D199" s="306"/>
      <c r="E199" s="535"/>
      <c r="F199" s="535"/>
      <c r="G199" s="583"/>
      <c r="H199" s="85"/>
      <c r="J199" s="88"/>
    </row>
    <row r="200" spans="2:10" ht="15" customHeight="1" x14ac:dyDescent="0.25">
      <c r="B200" s="300" t="s">
        <v>529</v>
      </c>
      <c r="C200" s="300" t="s">
        <v>0</v>
      </c>
      <c r="D200" s="300" t="s">
        <v>837</v>
      </c>
      <c r="E200" s="300" t="s">
        <v>838</v>
      </c>
      <c r="F200" s="300" t="s">
        <v>839</v>
      </c>
      <c r="G200" s="600"/>
      <c r="H200" s="85"/>
      <c r="J200" s="88"/>
    </row>
    <row r="201" spans="2:10" ht="15" customHeight="1" x14ac:dyDescent="0.25">
      <c r="B201" s="273" t="s">
        <v>525</v>
      </c>
      <c r="C201" s="274" t="s">
        <v>596</v>
      </c>
      <c r="D201" s="278">
        <f>$D$130*CombAlterHEFA!D192</f>
        <v>0</v>
      </c>
      <c r="E201" s="278">
        <f>$D$131*CombAlterHEFA!$D$198</f>
        <v>0</v>
      </c>
      <c r="F201" s="278">
        <f>$D$132*CombAlterHEFA!$D$204</f>
        <v>0</v>
      </c>
      <c r="G201" s="598"/>
      <c r="H201" s="85"/>
      <c r="J201" s="88"/>
    </row>
    <row r="202" spans="2:10" ht="15" customHeight="1" x14ac:dyDescent="0.25">
      <c r="B202" s="273" t="s">
        <v>531</v>
      </c>
      <c r="C202" s="273" t="s">
        <v>258</v>
      </c>
      <c r="D202" s="278">
        <f>'Dados auxiliares'!G160</f>
        <v>600</v>
      </c>
      <c r="E202" s="278">
        <f>'Dados auxiliares'!G160</f>
        <v>600</v>
      </c>
      <c r="F202" s="278">
        <f>'Dados auxiliares'!G160</f>
        <v>600</v>
      </c>
      <c r="G202" s="544"/>
      <c r="H202" s="85"/>
      <c r="J202" s="88"/>
    </row>
    <row r="203" spans="2:10" ht="15" customHeight="1" x14ac:dyDescent="0.25">
      <c r="B203" s="273" t="s">
        <v>528</v>
      </c>
      <c r="C203" s="274" t="s">
        <v>597</v>
      </c>
      <c r="D203" s="278">
        <f>D201/1000*D202</f>
        <v>0</v>
      </c>
      <c r="E203" s="278">
        <f t="shared" ref="E203:F203" si="53">E201/1000*E202</f>
        <v>0</v>
      </c>
      <c r="F203" s="278">
        <f t="shared" si="53"/>
        <v>0</v>
      </c>
      <c r="G203" s="598"/>
      <c r="H203" s="85"/>
      <c r="J203" s="88"/>
    </row>
    <row r="204" spans="2:10" x14ac:dyDescent="0.25">
      <c r="B204" s="273" t="s">
        <v>534</v>
      </c>
      <c r="C204" s="273" t="s">
        <v>258</v>
      </c>
      <c r="D204" s="278">
        <f>'Dados auxiliares'!F160</f>
        <v>900</v>
      </c>
      <c r="E204" s="278">
        <f>'Dados auxiliares'!F160</f>
        <v>900</v>
      </c>
      <c r="F204" s="278">
        <f>'Dados auxiliares'!F160</f>
        <v>900</v>
      </c>
      <c r="G204" s="544"/>
      <c r="H204" s="85"/>
    </row>
    <row r="205" spans="2:10" ht="18" x14ac:dyDescent="0.25">
      <c r="B205" s="273" t="s">
        <v>311</v>
      </c>
      <c r="C205" s="274" t="s">
        <v>597</v>
      </c>
      <c r="D205" s="278">
        <f>D201/1000*D204</f>
        <v>0</v>
      </c>
      <c r="E205" s="278">
        <f t="shared" ref="E205:F205" si="54">E201/1000*E204</f>
        <v>0</v>
      </c>
      <c r="F205" s="278">
        <f t="shared" si="54"/>
        <v>0</v>
      </c>
      <c r="G205" s="598"/>
      <c r="H205" s="85"/>
    </row>
    <row r="206" spans="2:10" ht="18" x14ac:dyDescent="0.25">
      <c r="B206" s="273" t="s">
        <v>52</v>
      </c>
      <c r="C206" s="274" t="s">
        <v>598</v>
      </c>
      <c r="D206" s="278">
        <f>D203*'Dados auxiliares'!$H$132+D205*'Dados auxiliares'!$H$135</f>
        <v>0</v>
      </c>
      <c r="E206" s="278">
        <f>E203*'Dados auxiliares'!$H$132+E205*'Dados auxiliares'!$H$135</f>
        <v>0</v>
      </c>
      <c r="F206" s="278">
        <f>F203*'Dados auxiliares'!$H$132+F205*'Dados auxiliares'!$H$135</f>
        <v>0</v>
      </c>
      <c r="G206" s="598"/>
      <c r="H206" s="85"/>
    </row>
    <row r="207" spans="2:10" ht="18" x14ac:dyDescent="0.25">
      <c r="B207" s="302" t="s">
        <v>52</v>
      </c>
      <c r="C207" s="303" t="s">
        <v>530</v>
      </c>
      <c r="D207" s="304" t="e">
        <f>D206/$E$130</f>
        <v>#DIV/0!</v>
      </c>
      <c r="E207" s="304" t="e">
        <f t="shared" ref="E207:F207" si="55">E206/$E$130</f>
        <v>#DIV/0!</v>
      </c>
      <c r="F207" s="304" t="e">
        <f t="shared" si="55"/>
        <v>#DIV/0!</v>
      </c>
      <c r="G207" s="601"/>
      <c r="H207" s="85"/>
    </row>
    <row r="208" spans="2:10" x14ac:dyDescent="0.25">
      <c r="B208" s="71"/>
      <c r="C208" s="71"/>
      <c r="D208" s="71"/>
      <c r="E208" s="71"/>
      <c r="F208" s="71"/>
      <c r="G208" s="71"/>
      <c r="H208" s="85"/>
    </row>
    <row r="209" spans="2:8" ht="18" x14ac:dyDescent="0.25">
      <c r="B209" s="279" t="s">
        <v>55</v>
      </c>
      <c r="C209" s="279" t="s">
        <v>535</v>
      </c>
      <c r="D209" s="305" t="e">
        <f>D189+D198+D207</f>
        <v>#DIV/0!</v>
      </c>
      <c r="E209" s="305" t="e">
        <f t="shared" ref="E209:F209" si="56">E189+E198+E207</f>
        <v>#DIV/0!</v>
      </c>
      <c r="F209" s="305" t="e">
        <f t="shared" si="56"/>
        <v>#DIV/0!</v>
      </c>
      <c r="G209" s="602"/>
      <c r="H209" s="85"/>
    </row>
    <row r="210" spans="2:8" x14ac:dyDescent="0.25">
      <c r="H210" s="333"/>
    </row>
    <row r="211" spans="2:8" x14ac:dyDescent="0.25">
      <c r="H211" s="333"/>
    </row>
    <row r="212" spans="2:8" x14ac:dyDescent="0.25">
      <c r="H212" s="85"/>
    </row>
    <row r="213" spans="2:8" x14ac:dyDescent="0.25">
      <c r="H213" s="85"/>
    </row>
    <row r="214" spans="2:8" x14ac:dyDescent="0.25">
      <c r="H214" s="85"/>
    </row>
    <row r="215" spans="2:8" x14ac:dyDescent="0.25">
      <c r="H215" s="85"/>
    </row>
    <row r="216" spans="2:8" x14ac:dyDescent="0.25">
      <c r="H216" s="85"/>
    </row>
    <row r="217" spans="2:8" x14ac:dyDescent="0.25">
      <c r="H217" s="85"/>
    </row>
  </sheetData>
  <mergeCells count="26">
    <mergeCell ref="H3:I3"/>
    <mergeCell ref="H4:I4"/>
    <mergeCell ref="B2:F2"/>
    <mergeCell ref="C3:D3"/>
    <mergeCell ref="C4:D4"/>
    <mergeCell ref="B12:F12"/>
    <mergeCell ref="B74:F74"/>
    <mergeCell ref="E3:F3"/>
    <mergeCell ref="E4:F4"/>
    <mergeCell ref="B182:F182"/>
    <mergeCell ref="B128:F128"/>
    <mergeCell ref="S133:S134"/>
    <mergeCell ref="H128:H134"/>
    <mergeCell ref="I128:I134"/>
    <mergeCell ref="J128:J134"/>
    <mergeCell ref="H12:H16"/>
    <mergeCell ref="I12:I16"/>
    <mergeCell ref="J12:J16"/>
    <mergeCell ref="H74:H77"/>
    <mergeCell ref="I74:I77"/>
    <mergeCell ref="J74:J77"/>
    <mergeCell ref="L133:L134"/>
    <mergeCell ref="M133:M134"/>
    <mergeCell ref="N133:N134"/>
    <mergeCell ref="O133:P134"/>
    <mergeCell ref="Q133:Q134"/>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3">
    <tabColor theme="0" tint="-0.249977111117893"/>
  </sheetPr>
  <dimension ref="B1:S120"/>
  <sheetViews>
    <sheetView showGridLines="0" zoomScale="89" zoomScaleNormal="89" workbookViewId="0">
      <pane ySplit="2" topLeftCell="A3" activePane="bottomLeft" state="frozen"/>
      <selection activeCell="J1" sqref="J1"/>
      <selection pane="bottomLeft" activeCell="G6" sqref="G6"/>
    </sheetView>
  </sheetViews>
  <sheetFormatPr defaultColWidth="9.140625" defaultRowHeight="15" x14ac:dyDescent="0.25"/>
  <cols>
    <col min="1" max="1" width="5.7109375" style="1" customWidth="1"/>
    <col min="2" max="2" width="5.28515625" style="1" customWidth="1"/>
    <col min="3" max="3" width="41.28515625" style="1" customWidth="1"/>
    <col min="4" max="5" width="9.140625" style="1"/>
    <col min="6" max="6" width="18" style="1" customWidth="1"/>
    <col min="7" max="7" width="41" style="1" customWidth="1"/>
    <col min="8" max="13" width="9.140625" style="1"/>
    <col min="14" max="14" width="13.7109375" style="1" customWidth="1"/>
    <col min="15" max="15" width="17" style="1" customWidth="1"/>
    <col min="16" max="16384" width="9.140625" style="1"/>
  </cols>
  <sheetData>
    <row r="1" spans="2:19" ht="90" customHeight="1" x14ac:dyDescent="0.25">
      <c r="B1" s="439" t="s">
        <v>101</v>
      </c>
      <c r="C1" s="439"/>
      <c r="D1" s="439"/>
      <c r="E1" s="439"/>
      <c r="F1" s="439"/>
      <c r="G1" s="439"/>
      <c r="H1" s="439"/>
      <c r="I1" s="439"/>
      <c r="J1" s="439"/>
      <c r="K1" s="439"/>
      <c r="L1" s="439"/>
      <c r="M1" s="439"/>
      <c r="N1" s="439"/>
      <c r="O1" s="439"/>
      <c r="P1" s="439"/>
      <c r="Q1" s="439"/>
      <c r="R1" s="439"/>
      <c r="S1" s="439"/>
    </row>
    <row r="2" spans="2:19" s="23" customFormat="1" ht="27.75" customHeight="1" x14ac:dyDescent="0.25">
      <c r="B2" s="21" t="s">
        <v>236</v>
      </c>
      <c r="C2" s="22"/>
    </row>
    <row r="3" spans="2:19" s="442" customFormat="1" ht="14.25" x14ac:dyDescent="0.2"/>
    <row r="4" spans="2:19" s="442" customFormat="1" ht="18" x14ac:dyDescent="0.2">
      <c r="B4" s="443" t="s">
        <v>965</v>
      </c>
      <c r="C4" s="441"/>
      <c r="F4" s="452"/>
      <c r="G4" s="450"/>
    </row>
    <row r="5" spans="2:19" s="442" customFormat="1" ht="16.5" x14ac:dyDescent="0.2">
      <c r="B5" s="443"/>
      <c r="C5" s="443"/>
      <c r="F5" s="452"/>
      <c r="G5" s="450"/>
    </row>
    <row r="6" spans="2:19" s="442" customFormat="1" ht="18" x14ac:dyDescent="0.2">
      <c r="B6" s="440" t="s">
        <v>237</v>
      </c>
      <c r="C6" s="441"/>
    </row>
    <row r="7" spans="2:19" s="442" customFormat="1" ht="9" customHeight="1" x14ac:dyDescent="0.2">
      <c r="B7" s="440"/>
      <c r="C7" s="441"/>
    </row>
    <row r="8" spans="2:19" s="442" customFormat="1" ht="18" x14ac:dyDescent="0.2">
      <c r="B8" s="443" t="s">
        <v>977</v>
      </c>
      <c r="C8" s="441"/>
      <c r="F8" s="444"/>
      <c r="G8" s="443"/>
      <c r="K8" s="445"/>
    </row>
    <row r="9" spans="2:19" s="442" customFormat="1" ht="9" customHeight="1" x14ac:dyDescent="0.2">
      <c r="B9" s="443"/>
      <c r="C9" s="441"/>
      <c r="F9" s="446"/>
      <c r="G9" s="443"/>
      <c r="K9" s="445"/>
    </row>
    <row r="10" spans="2:19" s="442" customFormat="1" ht="18" x14ac:dyDescent="0.2">
      <c r="B10" s="443" t="s">
        <v>978</v>
      </c>
      <c r="C10" s="441"/>
      <c r="F10" s="446"/>
      <c r="G10" s="443"/>
      <c r="K10" s="445"/>
    </row>
    <row r="11" spans="2:19" s="442" customFormat="1" ht="9" customHeight="1" x14ac:dyDescent="0.2">
      <c r="B11" s="443"/>
      <c r="C11" s="441"/>
      <c r="F11" s="446"/>
      <c r="G11" s="443"/>
      <c r="K11" s="445"/>
    </row>
    <row r="12" spans="2:19" s="442" customFormat="1" ht="18" x14ac:dyDescent="0.2">
      <c r="B12" s="443" t="s">
        <v>979</v>
      </c>
      <c r="C12" s="441"/>
      <c r="I12" s="447" t="s">
        <v>153</v>
      </c>
      <c r="J12" s="30"/>
      <c r="K12" s="75" t="s">
        <v>966</v>
      </c>
    </row>
    <row r="13" spans="2:19" s="442" customFormat="1" ht="9" customHeight="1" x14ac:dyDescent="0.2">
      <c r="B13" s="443"/>
      <c r="C13" s="441"/>
      <c r="I13" s="447"/>
      <c r="J13" s="448"/>
      <c r="K13" s="75"/>
    </row>
    <row r="14" spans="2:19" s="442" customFormat="1" ht="18" x14ac:dyDescent="0.2">
      <c r="B14" s="443" t="s">
        <v>980</v>
      </c>
      <c r="C14" s="441"/>
      <c r="F14" s="449"/>
      <c r="G14" s="450"/>
    </row>
    <row r="15" spans="2:19" s="442" customFormat="1" ht="9" customHeight="1" x14ac:dyDescent="0.2">
      <c r="B15" s="443"/>
      <c r="C15" s="441"/>
      <c r="F15" s="449"/>
      <c r="G15" s="450"/>
    </row>
    <row r="16" spans="2:19" s="442" customFormat="1" ht="18" x14ac:dyDescent="0.25">
      <c r="B16" s="443" t="s">
        <v>981</v>
      </c>
      <c r="C16" s="441"/>
      <c r="H16" s="103"/>
      <c r="I16" s="451"/>
      <c r="J16" s="130"/>
    </row>
    <row r="17" spans="2:10" s="442" customFormat="1" ht="12" customHeight="1" x14ac:dyDescent="0.2">
      <c r="C17" s="441"/>
      <c r="F17" s="452"/>
      <c r="G17" s="450"/>
    </row>
    <row r="20" spans="2:10" s="442" customFormat="1" ht="18" x14ac:dyDescent="0.25">
      <c r="B20" s="443"/>
      <c r="C20" s="441"/>
      <c r="H20" s="103"/>
      <c r="I20" s="451"/>
      <c r="J20" s="130"/>
    </row>
    <row r="21" spans="2:10" s="442" customFormat="1" ht="18" x14ac:dyDescent="0.25">
      <c r="B21" s="443" t="s">
        <v>982</v>
      </c>
      <c r="C21" s="441"/>
      <c r="H21" s="103"/>
      <c r="I21" s="451"/>
      <c r="J21" s="130"/>
    </row>
    <row r="22" spans="2:10" s="442" customFormat="1" ht="12" customHeight="1" x14ac:dyDescent="0.2">
      <c r="C22" s="441"/>
      <c r="F22" s="452"/>
      <c r="G22" s="450"/>
    </row>
    <row r="23" spans="2:10" s="442" customFormat="1" ht="18" x14ac:dyDescent="0.25">
      <c r="B23" s="443" t="s">
        <v>983</v>
      </c>
      <c r="C23" s="441"/>
      <c r="H23" s="103"/>
      <c r="I23" s="451"/>
      <c r="J23" s="130"/>
    </row>
    <row r="24" spans="2:10" s="442" customFormat="1" ht="12" customHeight="1" x14ac:dyDescent="0.2">
      <c r="C24" s="441"/>
      <c r="F24" s="452"/>
      <c r="G24" s="450"/>
    </row>
    <row r="25" spans="2:10" s="442" customFormat="1" ht="18" x14ac:dyDescent="0.25">
      <c r="B25" s="443" t="s">
        <v>984</v>
      </c>
      <c r="C25" s="441"/>
      <c r="H25" s="103"/>
      <c r="I25" s="451"/>
      <c r="J25" s="130"/>
    </row>
    <row r="26" spans="2:10" s="442" customFormat="1" ht="12" customHeight="1" x14ac:dyDescent="0.2">
      <c r="C26" s="441"/>
      <c r="F26" s="452"/>
      <c r="G26" s="450"/>
    </row>
    <row r="27" spans="2:10" s="442" customFormat="1" ht="18" x14ac:dyDescent="0.25">
      <c r="B27" s="443"/>
      <c r="C27" s="441"/>
      <c r="H27" s="103"/>
      <c r="I27" s="451"/>
      <c r="J27" s="130"/>
    </row>
    <row r="28" spans="2:10" s="442" customFormat="1" ht="14.25" x14ac:dyDescent="0.2"/>
    <row r="29" spans="2:10" s="442" customFormat="1" ht="14.25" x14ac:dyDescent="0.2"/>
    <row r="30" spans="2:10" s="442" customFormat="1" ht="14.25" x14ac:dyDescent="0.2"/>
    <row r="31" spans="2:10" s="442" customFormat="1" ht="14.25" x14ac:dyDescent="0.2"/>
    <row r="32" spans="2:10" s="442" customFormat="1" ht="14.25" x14ac:dyDescent="0.2"/>
    <row r="33" s="442" customFormat="1" ht="14.25" x14ac:dyDescent="0.2"/>
    <row r="34" s="442" customFormat="1" ht="14.25" x14ac:dyDescent="0.2"/>
    <row r="35" s="442" customFormat="1" ht="14.25" x14ac:dyDescent="0.2"/>
    <row r="36" s="442" customFormat="1" ht="14.25" x14ac:dyDescent="0.2"/>
    <row r="37" s="442" customFormat="1" ht="14.25" x14ac:dyDescent="0.2"/>
    <row r="38" s="442" customFormat="1" ht="14.25" x14ac:dyDescent="0.2"/>
    <row r="39" s="442" customFormat="1" ht="14.25" x14ac:dyDescent="0.2"/>
    <row r="40" s="442" customFormat="1" ht="14.25" x14ac:dyDescent="0.2"/>
    <row r="41" s="442" customFormat="1" ht="14.25" x14ac:dyDescent="0.2"/>
    <row r="42" s="442" customFormat="1" ht="14.25" x14ac:dyDescent="0.2"/>
    <row r="43" s="442" customFormat="1" ht="14.25" x14ac:dyDescent="0.2"/>
    <row r="44" s="442" customFormat="1" ht="14.25" x14ac:dyDescent="0.2"/>
    <row r="45" s="442" customFormat="1" ht="14.25" x14ac:dyDescent="0.2"/>
    <row r="46" s="442" customFormat="1" ht="14.25" x14ac:dyDescent="0.2"/>
    <row r="47" s="442" customFormat="1" ht="14.25" x14ac:dyDescent="0.2"/>
    <row r="48" s="442" customFormat="1" ht="14.25" x14ac:dyDescent="0.2"/>
    <row r="49" s="442" customFormat="1" ht="14.25" x14ac:dyDescent="0.2"/>
    <row r="50" s="442" customFormat="1" ht="14.25" x14ac:dyDescent="0.2"/>
    <row r="51" s="442" customFormat="1" ht="14.25" x14ac:dyDescent="0.2"/>
    <row r="52" s="442" customFormat="1" ht="14.25" x14ac:dyDescent="0.2"/>
    <row r="53" s="442" customFormat="1" ht="14.25" x14ac:dyDescent="0.2"/>
    <row r="54" s="442" customFormat="1" ht="14.25" x14ac:dyDescent="0.2"/>
    <row r="96" spans="14:16" ht="18.75" x14ac:dyDescent="0.25">
      <c r="N96" s="453"/>
      <c r="O96" s="454"/>
      <c r="P96" s="455"/>
    </row>
    <row r="119" spans="5:8" x14ac:dyDescent="0.25">
      <c r="E119" s="456"/>
      <c r="F119" s="456"/>
      <c r="G119" s="456"/>
      <c r="H119" s="456"/>
    </row>
    <row r="120" spans="5:8" x14ac:dyDescent="0.25">
      <c r="E120" s="457"/>
    </row>
  </sheetData>
  <sheetProtection password="E2B3" sheet="1" objects="1" scenarios="1" selectLockedCells="1"/>
  <dataValidations count="1">
    <dataValidation allowBlank="1" showInputMessage="1" showErrorMessage="1" prompt="Refere-se à área total da usina, ou seja, a soma das áreas: colhida,  reforma, produção de mudas, cana de ano e meio e bisada. " sqref="I16 I27 I20:I21 I25 I23" xr:uid="{00000000-0002-0000-0100-000000000000}"/>
  </dataValidations>
  <pageMargins left="0.511811024" right="0.511811024" top="0.78740157499999996" bottom="0.78740157499999996" header="0.31496062000000002" footer="0.31496062000000002"/>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Plan27">
    <tabColor rgb="FFFFC000"/>
  </sheetPr>
  <dimension ref="A1:DE270"/>
  <sheetViews>
    <sheetView showGridLines="0" workbookViewId="0">
      <selection activeCell="C26" sqref="C26:E26"/>
    </sheetView>
  </sheetViews>
  <sheetFormatPr defaultColWidth="9.140625" defaultRowHeight="15" x14ac:dyDescent="0.25"/>
  <cols>
    <col min="1" max="1" width="5.7109375" style="71" customWidth="1"/>
    <col min="2" max="2" width="35.7109375" style="71" customWidth="1"/>
    <col min="3" max="3" width="20.7109375" style="71" customWidth="1"/>
    <col min="4" max="4" width="15.7109375" style="411" customWidth="1"/>
    <col min="5" max="5" width="16.7109375" style="71" customWidth="1"/>
    <col min="6" max="7" width="20.7109375" style="71" customWidth="1"/>
    <col min="8" max="8" width="9.7109375" style="71" customWidth="1"/>
    <col min="9" max="12" width="9.140625" style="71"/>
    <col min="13" max="13" width="11.5703125" style="71" bestFit="1" customWidth="1"/>
    <col min="14" max="14" width="9.140625" style="71" customWidth="1"/>
    <col min="15" max="103" width="9.140625" style="71"/>
    <col min="104" max="104" width="35.85546875" style="71" customWidth="1"/>
    <col min="105" max="105" width="9.140625" style="71"/>
    <col min="106" max="106" width="11" style="71" bestFit="1" customWidth="1"/>
    <col min="107" max="107" width="11.140625" style="71" bestFit="1" customWidth="1"/>
    <col min="108" max="108" width="9.28515625" style="71" bestFit="1" customWidth="1"/>
    <col min="109" max="109" width="7.7109375" style="71" customWidth="1"/>
    <col min="110" max="16384" width="9.140625" style="71"/>
  </cols>
  <sheetData>
    <row r="1" spans="1:10" s="85" customFormat="1" ht="90" customHeight="1" x14ac:dyDescent="0.25">
      <c r="B1" s="120"/>
      <c r="C1" s="120"/>
      <c r="D1" s="120"/>
      <c r="E1" s="120"/>
      <c r="F1" s="120"/>
      <c r="G1" s="120"/>
      <c r="H1" s="120"/>
      <c r="I1" s="120"/>
    </row>
    <row r="2" spans="1:10" s="52" customFormat="1" ht="25.15" customHeight="1" x14ac:dyDescent="0.25">
      <c r="B2" s="52" t="s">
        <v>707</v>
      </c>
    </row>
    <row r="3" spans="1:10" s="108" customFormat="1" x14ac:dyDescent="0.25">
      <c r="C3" s="103"/>
    </row>
    <row r="4" spans="1:10" s="649" customFormat="1" ht="15.75" x14ac:dyDescent="0.25">
      <c r="A4" s="85"/>
      <c r="B4" s="181" t="s">
        <v>238</v>
      </c>
      <c r="C4" s="726" t="s">
        <v>538</v>
      </c>
      <c r="D4" s="727"/>
      <c r="E4" s="727"/>
      <c r="F4" s="727"/>
      <c r="G4" s="727"/>
      <c r="H4" s="728"/>
      <c r="I4" s="653"/>
    </row>
    <row r="5" spans="1:10" s="85" customFormat="1" ht="6" customHeight="1" x14ac:dyDescent="0.25">
      <c r="B5" s="182"/>
      <c r="C5" s="114"/>
      <c r="D5" s="114"/>
      <c r="E5" s="114"/>
      <c r="F5" s="114"/>
      <c r="G5" s="114"/>
      <c r="H5" s="114"/>
      <c r="I5" s="108"/>
    </row>
    <row r="6" spans="1:10" s="85" customFormat="1" ht="15.75" x14ac:dyDescent="0.25">
      <c r="B6" s="181" t="s">
        <v>342</v>
      </c>
      <c r="C6" s="726" t="s">
        <v>343</v>
      </c>
      <c r="D6" s="727"/>
      <c r="E6" s="727"/>
      <c r="F6" s="727"/>
      <c r="G6" s="727"/>
      <c r="H6" s="728"/>
      <c r="I6" s="108"/>
    </row>
    <row r="7" spans="1:10" s="85" customFormat="1" ht="6" customHeight="1" x14ac:dyDescent="0.25">
      <c r="B7" s="181"/>
      <c r="C7" s="114"/>
      <c r="D7" s="114"/>
      <c r="E7" s="114"/>
      <c r="F7" s="114"/>
      <c r="G7" s="114"/>
      <c r="H7" s="114"/>
      <c r="I7" s="108"/>
    </row>
    <row r="8" spans="1:10" s="85" customFormat="1" ht="15.75" x14ac:dyDescent="0.25">
      <c r="B8" s="181" t="s">
        <v>239</v>
      </c>
      <c r="C8" s="726"/>
      <c r="D8" s="727"/>
      <c r="E8" s="727"/>
      <c r="F8" s="727"/>
      <c r="G8" s="727"/>
      <c r="H8" s="728"/>
      <c r="I8" s="108"/>
    </row>
    <row r="9" spans="1:10" s="85" customFormat="1" ht="6" customHeight="1" x14ac:dyDescent="0.25">
      <c r="B9" s="182"/>
      <c r="C9" s="114"/>
      <c r="D9" s="114"/>
      <c r="E9" s="115"/>
      <c r="F9" s="115"/>
      <c r="G9" s="115"/>
      <c r="H9" s="115"/>
      <c r="I9" s="108"/>
    </row>
    <row r="10" spans="1:10" s="85" customFormat="1" ht="15.75" x14ac:dyDescent="0.25">
      <c r="B10" s="181" t="s">
        <v>240</v>
      </c>
      <c r="C10" s="726" t="s">
        <v>344</v>
      </c>
      <c r="D10" s="728"/>
      <c r="E10" s="116"/>
      <c r="F10" s="108"/>
      <c r="G10" s="108"/>
      <c r="H10" s="108"/>
      <c r="I10" s="108"/>
    </row>
    <row r="11" spans="1:10" s="108" customFormat="1" ht="15.75" x14ac:dyDescent="0.25">
      <c r="C11" s="112"/>
    </row>
    <row r="12" spans="1:10" s="85" customFormat="1" ht="6" customHeight="1" x14ac:dyDescent="0.25">
      <c r="B12" s="151"/>
      <c r="C12" s="99"/>
      <c r="D12" s="99"/>
      <c r="E12" s="84"/>
      <c r="F12" s="99"/>
      <c r="G12" s="84"/>
      <c r="H12" s="84"/>
      <c r="I12" s="108"/>
      <c r="J12" s="108"/>
    </row>
    <row r="13" spans="1:10" s="85" customFormat="1" ht="17.25" x14ac:dyDescent="0.25">
      <c r="B13" s="43"/>
      <c r="C13" s="729" t="s">
        <v>262</v>
      </c>
      <c r="D13" s="729"/>
      <c r="E13" s="84"/>
      <c r="F13" s="84"/>
      <c r="G13" s="84"/>
      <c r="H13" s="84"/>
      <c r="I13" s="108"/>
      <c r="J13" s="150"/>
    </row>
    <row r="14" spans="1:10" s="85" customFormat="1" ht="6" customHeight="1" x14ac:dyDescent="0.25">
      <c r="B14" s="43"/>
      <c r="C14" s="95"/>
      <c r="D14" s="83"/>
      <c r="E14" s="84"/>
      <c r="F14" s="33"/>
      <c r="G14" s="84"/>
      <c r="H14" s="84"/>
      <c r="I14" s="108"/>
      <c r="J14" s="150"/>
    </row>
    <row r="15" spans="1:10" s="85" customFormat="1" ht="31.5" x14ac:dyDescent="0.25">
      <c r="B15" s="534" t="s">
        <v>829</v>
      </c>
      <c r="C15" s="155">
        <f>SUM(C18:C20)</f>
        <v>3.4827055034308922</v>
      </c>
      <c r="D15" s="736" t="s">
        <v>828</v>
      </c>
      <c r="E15" s="736"/>
      <c r="F15" s="736"/>
      <c r="G15" s="155">
        <f>G18-C15</f>
        <v>83.21729449656911</v>
      </c>
      <c r="H15" s="84"/>
      <c r="I15" s="108"/>
      <c r="J15" s="108"/>
    </row>
    <row r="16" spans="1:10" s="85" customFormat="1" ht="6" customHeight="1" x14ac:dyDescent="0.25">
      <c r="B16" s="152"/>
      <c r="C16" s="82"/>
      <c r="D16" s="83"/>
      <c r="E16" s="84"/>
      <c r="F16" s="84"/>
      <c r="G16" s="84"/>
      <c r="H16" s="84"/>
      <c r="I16" s="108"/>
      <c r="J16" s="108"/>
    </row>
    <row r="17" spans="2:109" s="85" customFormat="1" ht="15.75" x14ac:dyDescent="0.25">
      <c r="B17" s="83"/>
      <c r="C17" s="83"/>
      <c r="D17" s="83"/>
      <c r="E17" s="84"/>
      <c r="F17" s="153"/>
      <c r="G17" s="665" t="s">
        <v>866</v>
      </c>
      <c r="H17" s="84"/>
      <c r="I17" s="108"/>
      <c r="J17" s="108"/>
    </row>
    <row r="18" spans="2:109" s="85" customFormat="1" ht="17.25" x14ac:dyDescent="0.25">
      <c r="B18" s="385" t="s">
        <v>160</v>
      </c>
      <c r="C18" s="142">
        <f>IFERROR(_Biometano!C5,0)</f>
        <v>0</v>
      </c>
      <c r="D18" s="83"/>
      <c r="E18" s="84"/>
      <c r="F18" s="153"/>
      <c r="G18" s="580">
        <f>'Dados auxiliares'!F169</f>
        <v>86.7</v>
      </c>
      <c r="H18" s="84"/>
      <c r="I18" s="108"/>
      <c r="J18" s="108"/>
    </row>
    <row r="19" spans="2:109" s="85" customFormat="1" ht="15.75" x14ac:dyDescent="0.25">
      <c r="B19" s="385" t="s">
        <v>161</v>
      </c>
      <c r="C19" s="142">
        <f>IFERROR(_Biometano!C6,0)</f>
        <v>0</v>
      </c>
      <c r="D19" s="83"/>
      <c r="E19" s="84"/>
      <c r="F19" s="153"/>
      <c r="G19" s="153" t="s">
        <v>539</v>
      </c>
      <c r="H19" s="84"/>
      <c r="I19" s="108"/>
      <c r="J19" s="108"/>
    </row>
    <row r="20" spans="2:109" s="85" customFormat="1" ht="17.25" x14ac:dyDescent="0.25">
      <c r="B20" s="385" t="s">
        <v>189</v>
      </c>
      <c r="C20" s="142">
        <f>IFERROR(_Biometano!C7,0)</f>
        <v>3.4827055034308922</v>
      </c>
      <c r="D20" s="83"/>
      <c r="E20" s="84"/>
      <c r="F20" s="153"/>
      <c r="G20" s="154">
        <f>(G18-C15)/G18</f>
        <v>0.95983038635027806</v>
      </c>
      <c r="H20" s="84"/>
      <c r="I20" s="108"/>
      <c r="J20" s="108"/>
    </row>
    <row r="21" spans="2:109" s="85" customFormat="1" ht="6" customHeight="1" x14ac:dyDescent="0.25">
      <c r="B21" s="385"/>
      <c r="C21" s="55"/>
      <c r="D21" s="83"/>
      <c r="E21" s="84"/>
      <c r="F21" s="84"/>
      <c r="G21" s="84"/>
      <c r="H21" s="84"/>
      <c r="I21" s="108"/>
    </row>
    <row r="22" spans="2:109" s="408" customFormat="1" ht="15.75" x14ac:dyDescent="0.25">
      <c r="B22" s="36"/>
      <c r="C22" s="32"/>
      <c r="D22" s="32"/>
      <c r="E22" s="35"/>
      <c r="F22" s="46"/>
      <c r="G22" s="31"/>
      <c r="CZ22" s="36"/>
      <c r="DB22" s="32"/>
      <c r="DC22" s="35"/>
      <c r="DD22" s="46"/>
      <c r="DE22" s="31"/>
    </row>
    <row r="23" spans="2:109" s="408" customFormat="1" ht="18.75" x14ac:dyDescent="0.25">
      <c r="B23" s="732" t="s">
        <v>705</v>
      </c>
      <c r="C23" s="732"/>
      <c r="D23" s="732"/>
      <c r="E23" s="732"/>
      <c r="F23" s="732"/>
      <c r="G23" s="732"/>
      <c r="H23" s="732"/>
    </row>
    <row r="24" spans="2:109" s="408" customFormat="1" ht="15.75" x14ac:dyDescent="0.25">
      <c r="B24" s="731" t="s">
        <v>734</v>
      </c>
      <c r="C24" s="731"/>
      <c r="D24" s="731"/>
      <c r="E24" s="731"/>
      <c r="F24" s="731"/>
      <c r="G24" s="731"/>
      <c r="H24" s="731"/>
    </row>
    <row r="25" spans="2:109" s="408" customFormat="1" x14ac:dyDescent="0.25">
      <c r="B25" s="25"/>
      <c r="C25" s="291"/>
      <c r="D25" s="229" t="s">
        <v>735</v>
      </c>
      <c r="E25" s="291"/>
      <c r="F25" s="56"/>
      <c r="G25" s="56"/>
      <c r="H25" s="56"/>
    </row>
    <row r="26" spans="2:109" s="408" customFormat="1" x14ac:dyDescent="0.25">
      <c r="B26" s="25"/>
      <c r="C26" s="753" t="s">
        <v>716</v>
      </c>
      <c r="D26" s="753"/>
      <c r="E26" s="753"/>
      <c r="F26" s="56"/>
      <c r="G26" s="56"/>
      <c r="H26" s="56"/>
    </row>
    <row r="27" spans="2:109" s="408" customFormat="1" x14ac:dyDescent="0.25">
      <c r="B27" s="25"/>
      <c r="C27" s="91" t="s">
        <v>706</v>
      </c>
      <c r="D27" s="644"/>
      <c r="E27" s="92" t="s">
        <v>701</v>
      </c>
      <c r="F27" s="56"/>
      <c r="G27" s="229"/>
      <c r="H27" s="229"/>
    </row>
    <row r="28" spans="2:109" s="408" customFormat="1" x14ac:dyDescent="0.25">
      <c r="B28" s="24"/>
      <c r="C28" s="91" t="s">
        <v>257</v>
      </c>
      <c r="D28" s="644"/>
      <c r="E28" s="92" t="s">
        <v>190</v>
      </c>
      <c r="F28" s="229"/>
      <c r="G28" s="229"/>
      <c r="H28" s="229"/>
    </row>
    <row r="29" spans="2:109" s="408" customFormat="1" ht="6" customHeight="1" x14ac:dyDescent="0.25">
      <c r="B29" s="24"/>
      <c r="C29" s="91"/>
      <c r="D29" s="91"/>
      <c r="E29" s="91"/>
      <c r="F29" s="229"/>
      <c r="G29" s="229"/>
      <c r="H29" s="229"/>
    </row>
    <row r="30" spans="2:109" s="408" customFormat="1" x14ac:dyDescent="0.25">
      <c r="B30" s="25"/>
      <c r="C30" s="291"/>
      <c r="D30" s="229" t="s">
        <v>736</v>
      </c>
      <c r="E30" s="291"/>
      <c r="F30" s="229"/>
      <c r="G30" s="229"/>
      <c r="H30" s="229"/>
    </row>
    <row r="31" spans="2:109" s="408" customFormat="1" x14ac:dyDescent="0.25">
      <c r="B31" s="25"/>
      <c r="C31" s="753" t="s">
        <v>733</v>
      </c>
      <c r="D31" s="753"/>
      <c r="E31" s="753"/>
      <c r="F31" s="229"/>
      <c r="G31" s="229"/>
      <c r="H31" s="229"/>
    </row>
    <row r="32" spans="2:109" s="408" customFormat="1" x14ac:dyDescent="0.25">
      <c r="B32" s="24"/>
      <c r="C32" s="91" t="s">
        <v>706</v>
      </c>
      <c r="D32" s="644"/>
      <c r="E32" s="92" t="s">
        <v>701</v>
      </c>
      <c r="F32" s="229"/>
      <c r="G32" s="229"/>
      <c r="H32" s="229"/>
    </row>
    <row r="33" spans="2:8" s="408" customFormat="1" x14ac:dyDescent="0.25">
      <c r="B33" s="25"/>
      <c r="C33" s="91" t="s">
        <v>257</v>
      </c>
      <c r="D33" s="644"/>
      <c r="E33" s="92" t="s">
        <v>190</v>
      </c>
      <c r="F33" s="229"/>
      <c r="G33" s="229"/>
      <c r="H33" s="229"/>
    </row>
    <row r="34" spans="2:8" s="408" customFormat="1" ht="6" customHeight="1" x14ac:dyDescent="0.25">
      <c r="B34" s="25"/>
      <c r="C34" s="91"/>
      <c r="D34" s="91"/>
      <c r="E34" s="91"/>
      <c r="F34" s="229"/>
      <c r="G34" s="229"/>
      <c r="H34" s="229"/>
    </row>
    <row r="35" spans="2:8" s="408" customFormat="1" x14ac:dyDescent="0.25">
      <c r="B35" s="25"/>
      <c r="C35" s="291"/>
      <c r="D35" s="229" t="s">
        <v>737</v>
      </c>
      <c r="E35" s="291"/>
      <c r="F35" s="25"/>
      <c r="G35" s="229"/>
      <c r="H35" s="229"/>
    </row>
    <row r="36" spans="2:8" s="408" customFormat="1" x14ac:dyDescent="0.25">
      <c r="B36" s="25"/>
      <c r="C36" s="753" t="s">
        <v>733</v>
      </c>
      <c r="D36" s="753"/>
      <c r="E36" s="753"/>
      <c r="F36" s="25"/>
      <c r="G36" s="229"/>
      <c r="H36" s="229"/>
    </row>
    <row r="37" spans="2:8" s="408" customFormat="1" x14ac:dyDescent="0.25">
      <c r="B37" s="25"/>
      <c r="C37" s="91" t="s">
        <v>706</v>
      </c>
      <c r="D37" s="644"/>
      <c r="E37" s="92" t="s">
        <v>701</v>
      </c>
      <c r="F37" s="229"/>
      <c r="G37" s="229"/>
      <c r="H37" s="229"/>
    </row>
    <row r="38" spans="2:8" s="408" customFormat="1" x14ac:dyDescent="0.25">
      <c r="B38" s="25"/>
      <c r="C38" s="91" t="s">
        <v>257</v>
      </c>
      <c r="D38" s="644"/>
      <c r="E38" s="92" t="s">
        <v>190</v>
      </c>
      <c r="F38" s="25"/>
      <c r="G38" s="229"/>
      <c r="H38" s="229"/>
    </row>
    <row r="39" spans="2:8" s="408" customFormat="1" ht="6" customHeight="1" x14ac:dyDescent="0.25">
      <c r="B39" s="25"/>
      <c r="C39" s="91"/>
      <c r="D39" s="91"/>
      <c r="E39" s="91"/>
      <c r="F39" s="25"/>
      <c r="G39" s="229"/>
      <c r="H39" s="229"/>
    </row>
    <row r="40" spans="2:8" s="408" customFormat="1" x14ac:dyDescent="0.25">
      <c r="B40" s="24"/>
      <c r="C40" s="291"/>
      <c r="D40" s="229" t="s">
        <v>738</v>
      </c>
      <c r="E40" s="291"/>
      <c r="F40" s="229"/>
      <c r="G40" s="229"/>
      <c r="H40" s="229"/>
    </row>
    <row r="41" spans="2:8" s="408" customFormat="1" x14ac:dyDescent="0.25">
      <c r="B41" s="24"/>
      <c r="C41" s="753" t="s">
        <v>733</v>
      </c>
      <c r="D41" s="753"/>
      <c r="E41" s="753"/>
      <c r="F41" s="229"/>
      <c r="G41" s="229"/>
      <c r="H41" s="229"/>
    </row>
    <row r="42" spans="2:8" s="408" customFormat="1" x14ac:dyDescent="0.25">
      <c r="B42" s="25"/>
      <c r="C42" s="91" t="s">
        <v>706</v>
      </c>
      <c r="D42" s="644"/>
      <c r="E42" s="92" t="s">
        <v>701</v>
      </c>
      <c r="F42" s="25"/>
      <c r="G42" s="229"/>
      <c r="H42" s="229"/>
    </row>
    <row r="43" spans="2:8" s="408" customFormat="1" x14ac:dyDescent="0.25">
      <c r="B43" s="24"/>
      <c r="C43" s="91" t="s">
        <v>257</v>
      </c>
      <c r="D43" s="644"/>
      <c r="E43" s="92" t="s">
        <v>190</v>
      </c>
      <c r="F43" s="229"/>
      <c r="G43" s="229"/>
      <c r="H43" s="229"/>
    </row>
    <row r="44" spans="2:8" s="408" customFormat="1" ht="6" customHeight="1" x14ac:dyDescent="0.25">
      <c r="B44" s="24"/>
      <c r="C44" s="91"/>
      <c r="D44" s="91"/>
      <c r="E44" s="25"/>
      <c r="F44" s="229"/>
      <c r="G44" s="229"/>
      <c r="H44" s="229"/>
    </row>
    <row r="45" spans="2:8" s="408" customFormat="1" x14ac:dyDescent="0.25">
      <c r="B45" s="24"/>
      <c r="C45" s="291"/>
      <c r="D45" s="229" t="s">
        <v>739</v>
      </c>
      <c r="E45" s="291"/>
      <c r="F45" s="229"/>
      <c r="G45" s="229"/>
      <c r="H45" s="229"/>
    </row>
    <row r="46" spans="2:8" s="408" customFormat="1" x14ac:dyDescent="0.25">
      <c r="B46" s="24"/>
      <c r="C46" s="753" t="s">
        <v>733</v>
      </c>
      <c r="D46" s="753"/>
      <c r="E46" s="753"/>
      <c r="F46" s="229"/>
      <c r="G46" s="229"/>
      <c r="H46" s="229"/>
    </row>
    <row r="47" spans="2:8" s="408" customFormat="1" x14ac:dyDescent="0.25">
      <c r="B47" s="24"/>
      <c r="C47" s="91" t="s">
        <v>706</v>
      </c>
      <c r="D47" s="644"/>
      <c r="E47" s="92" t="s">
        <v>701</v>
      </c>
      <c r="F47" s="229"/>
      <c r="G47" s="229"/>
      <c r="H47" s="229"/>
    </row>
    <row r="48" spans="2:8" s="408" customFormat="1" x14ac:dyDescent="0.25">
      <c r="B48" s="24"/>
      <c r="C48" s="91" t="s">
        <v>257</v>
      </c>
      <c r="D48" s="644"/>
      <c r="E48" s="92" t="s">
        <v>190</v>
      </c>
      <c r="F48" s="229"/>
      <c r="G48" s="229"/>
      <c r="H48" s="229"/>
    </row>
    <row r="49" spans="2:8" s="408" customFormat="1" ht="6" customHeight="1" x14ac:dyDescent="0.25">
      <c r="B49" s="24"/>
      <c r="C49" s="91"/>
      <c r="D49" s="663"/>
      <c r="E49" s="25"/>
      <c r="F49" s="229"/>
      <c r="G49" s="229"/>
      <c r="H49" s="229"/>
    </row>
    <row r="50" spans="2:8" s="408" customFormat="1" ht="15.75" x14ac:dyDescent="0.25">
      <c r="B50" s="731" t="s">
        <v>495</v>
      </c>
      <c r="C50" s="731"/>
      <c r="D50" s="731"/>
      <c r="E50" s="731"/>
      <c r="F50" s="731"/>
      <c r="G50" s="731"/>
      <c r="H50" s="731"/>
    </row>
    <row r="51" spans="2:8" s="408" customFormat="1" x14ac:dyDescent="0.25">
      <c r="B51" s="25"/>
      <c r="C51" s="91" t="s">
        <v>707</v>
      </c>
      <c r="D51" s="644"/>
      <c r="E51" s="92" t="s">
        <v>704</v>
      </c>
      <c r="F51" s="409" t="s">
        <v>708</v>
      </c>
      <c r="G51" s="646"/>
      <c r="H51" s="410" t="s">
        <v>709</v>
      </c>
    </row>
    <row r="52" spans="2:8" s="408" customFormat="1" x14ac:dyDescent="0.25">
      <c r="B52" s="25"/>
      <c r="C52" s="91"/>
      <c r="D52" s="91"/>
      <c r="E52" s="91"/>
      <c r="F52" s="409" t="s">
        <v>710</v>
      </c>
      <c r="G52" s="671"/>
      <c r="H52" s="410" t="s">
        <v>711</v>
      </c>
    </row>
    <row r="53" spans="2:8" s="408" customFormat="1" x14ac:dyDescent="0.25">
      <c r="B53" s="25"/>
      <c r="C53" s="91" t="s">
        <v>712</v>
      </c>
      <c r="D53" s="644"/>
      <c r="E53" s="92" t="s">
        <v>713</v>
      </c>
      <c r="F53" s="56"/>
      <c r="G53" s="56"/>
      <c r="H53" s="56"/>
    </row>
    <row r="54" spans="2:8" s="408" customFormat="1" ht="6" customHeight="1" x14ac:dyDescent="0.25">
      <c r="B54" s="24"/>
      <c r="C54" s="91"/>
      <c r="D54" s="91"/>
      <c r="E54" s="25"/>
      <c r="F54" s="229"/>
      <c r="G54" s="229"/>
      <c r="H54" s="229"/>
    </row>
    <row r="55" spans="2:8" s="408" customFormat="1" ht="15.75" x14ac:dyDescent="0.25">
      <c r="B55" s="731" t="s">
        <v>243</v>
      </c>
      <c r="C55" s="731"/>
      <c r="D55" s="731"/>
      <c r="E55" s="731"/>
      <c r="F55" s="731"/>
      <c r="G55" s="731"/>
      <c r="H55" s="731"/>
    </row>
    <row r="56" spans="2:8" s="408" customFormat="1" x14ac:dyDescent="0.25">
      <c r="B56" s="54"/>
      <c r="C56" s="93" t="s">
        <v>376</v>
      </c>
      <c r="D56" s="644"/>
      <c r="E56" s="94" t="s">
        <v>703</v>
      </c>
      <c r="F56" s="26"/>
      <c r="G56" s="26"/>
      <c r="H56" s="309"/>
    </row>
    <row r="57" spans="2:8" s="408" customFormat="1" x14ac:dyDescent="0.25">
      <c r="B57" s="54"/>
      <c r="C57" s="93" t="s">
        <v>375</v>
      </c>
      <c r="D57" s="644"/>
      <c r="E57" s="94" t="s">
        <v>703</v>
      </c>
      <c r="F57" s="26"/>
      <c r="G57" s="26"/>
      <c r="H57" s="309"/>
    </row>
    <row r="58" spans="2:8" s="408" customFormat="1" x14ac:dyDescent="0.25">
      <c r="B58" s="54"/>
      <c r="C58" s="93" t="s">
        <v>372</v>
      </c>
      <c r="D58" s="644"/>
      <c r="E58" s="94" t="s">
        <v>703</v>
      </c>
      <c r="F58" s="26"/>
      <c r="G58" s="26"/>
      <c r="H58" s="309"/>
    </row>
    <row r="59" spans="2:8" s="408" customFormat="1" x14ac:dyDescent="0.25">
      <c r="B59" s="54"/>
      <c r="C59" s="93" t="s">
        <v>373</v>
      </c>
      <c r="D59" s="644"/>
      <c r="E59" s="94" t="s">
        <v>703</v>
      </c>
      <c r="F59" s="26"/>
      <c r="G59" s="26"/>
      <c r="H59" s="309"/>
    </row>
    <row r="60" spans="2:8" s="408" customFormat="1" x14ac:dyDescent="0.25">
      <c r="B60" s="54"/>
      <c r="C60" s="93" t="s">
        <v>374</v>
      </c>
      <c r="D60" s="644"/>
      <c r="E60" s="94" t="s">
        <v>703</v>
      </c>
      <c r="F60" s="26"/>
      <c r="G60" s="26"/>
      <c r="H60" s="309"/>
    </row>
    <row r="61" spans="2:8" s="408" customFormat="1" x14ac:dyDescent="0.25">
      <c r="B61" s="25"/>
      <c r="C61" s="93" t="s">
        <v>366</v>
      </c>
      <c r="D61" s="644"/>
      <c r="E61" s="94" t="s">
        <v>702</v>
      </c>
      <c r="F61" s="27"/>
      <c r="G61" s="27"/>
      <c r="H61" s="73"/>
    </row>
    <row r="62" spans="2:8" s="408" customFormat="1" x14ac:dyDescent="0.25">
      <c r="B62" s="25"/>
      <c r="C62" s="93" t="s">
        <v>367</v>
      </c>
      <c r="D62" s="644"/>
      <c r="E62" s="94" t="s">
        <v>702</v>
      </c>
      <c r="F62" s="27"/>
      <c r="G62" s="27"/>
      <c r="H62" s="73"/>
    </row>
    <row r="63" spans="2:8" s="408" customFormat="1" ht="30" x14ac:dyDescent="0.25">
      <c r="B63" s="25"/>
      <c r="C63" s="93" t="s">
        <v>368</v>
      </c>
      <c r="D63" s="644"/>
      <c r="E63" s="94" t="s">
        <v>702</v>
      </c>
      <c r="F63" s="311" t="s">
        <v>379</v>
      </c>
      <c r="G63" s="670"/>
      <c r="H63" s="94"/>
    </row>
    <row r="64" spans="2:8" s="408" customFormat="1" x14ac:dyDescent="0.25">
      <c r="B64" s="25"/>
      <c r="C64" s="93" t="s">
        <v>369</v>
      </c>
      <c r="D64" s="644"/>
      <c r="E64" s="94" t="s">
        <v>702</v>
      </c>
      <c r="F64" s="27"/>
      <c r="G64" s="27"/>
      <c r="H64" s="73"/>
    </row>
    <row r="65" spans="1:11" s="408" customFormat="1" x14ac:dyDescent="0.25">
      <c r="B65" s="25"/>
      <c r="C65" s="93" t="s">
        <v>370</v>
      </c>
      <c r="D65" s="644"/>
      <c r="E65" s="94" t="s">
        <v>702</v>
      </c>
      <c r="F65" s="27"/>
      <c r="G65" s="27"/>
      <c r="H65" s="73"/>
    </row>
    <row r="66" spans="1:11" s="408" customFormat="1" x14ac:dyDescent="0.25">
      <c r="B66" s="25"/>
      <c r="C66" s="93" t="s">
        <v>371</v>
      </c>
      <c r="D66" s="644"/>
      <c r="E66" s="94" t="s">
        <v>702</v>
      </c>
      <c r="F66" s="27"/>
      <c r="G66" s="27"/>
      <c r="H66" s="73"/>
    </row>
    <row r="67" spans="1:11" s="408" customFormat="1" ht="17.25" x14ac:dyDescent="0.25">
      <c r="B67" s="25"/>
      <c r="C67" s="93" t="s">
        <v>845</v>
      </c>
      <c r="D67" s="644"/>
      <c r="E67" s="94" t="s">
        <v>932</v>
      </c>
      <c r="F67" s="27"/>
      <c r="G67" s="27"/>
      <c r="H67" s="73"/>
    </row>
    <row r="68" spans="1:11" x14ac:dyDescent="0.25">
      <c r="A68" s="408"/>
      <c r="B68" s="54"/>
      <c r="C68" s="93" t="s">
        <v>923</v>
      </c>
      <c r="D68" s="644"/>
      <c r="E68" s="94" t="s">
        <v>704</v>
      </c>
      <c r="F68" s="141" t="s">
        <v>924</v>
      </c>
      <c r="G68" s="646"/>
      <c r="H68" s="410" t="s">
        <v>709</v>
      </c>
      <c r="I68" s="408"/>
      <c r="J68" s="408"/>
      <c r="K68" s="408"/>
    </row>
    <row r="69" spans="1:11" x14ac:dyDescent="0.25">
      <c r="A69" s="408"/>
      <c r="B69" s="54"/>
      <c r="C69" s="93" t="s">
        <v>922</v>
      </c>
      <c r="D69" s="644"/>
      <c r="E69" s="94" t="s">
        <v>704</v>
      </c>
      <c r="F69" s="141" t="s">
        <v>924</v>
      </c>
      <c r="G69" s="646"/>
      <c r="H69" s="410" t="s">
        <v>709</v>
      </c>
      <c r="I69" s="408"/>
      <c r="J69" s="408"/>
      <c r="K69" s="408"/>
    </row>
    <row r="70" spans="1:11" x14ac:dyDescent="0.25">
      <c r="A70" s="408"/>
      <c r="B70" s="54"/>
      <c r="C70" s="93" t="s">
        <v>572</v>
      </c>
      <c r="D70" s="644"/>
      <c r="E70" s="94" t="s">
        <v>704</v>
      </c>
      <c r="F70" s="26"/>
      <c r="G70" s="26"/>
      <c r="H70" s="26"/>
      <c r="I70" s="408"/>
    </row>
    <row r="71" spans="1:11" x14ac:dyDescent="0.25">
      <c r="A71" s="408"/>
      <c r="B71" s="54"/>
      <c r="C71" s="730" t="s">
        <v>106</v>
      </c>
      <c r="D71" s="730"/>
      <c r="E71" s="730"/>
      <c r="F71" s="26"/>
      <c r="G71" s="26"/>
      <c r="H71" s="26"/>
      <c r="I71" s="408"/>
    </row>
    <row r="72" spans="1:11" x14ac:dyDescent="0.25">
      <c r="A72" s="408"/>
      <c r="B72" s="54"/>
      <c r="C72" s="91" t="s">
        <v>392</v>
      </c>
      <c r="D72" s="644"/>
      <c r="E72" s="94" t="s">
        <v>701</v>
      </c>
      <c r="F72" s="26"/>
      <c r="G72" s="26"/>
      <c r="H72" s="26"/>
      <c r="I72" s="408"/>
    </row>
    <row r="73" spans="1:11" x14ac:dyDescent="0.25">
      <c r="A73" s="408"/>
      <c r="B73" s="54"/>
      <c r="C73" s="91" t="s">
        <v>134</v>
      </c>
      <c r="D73" s="670"/>
      <c r="E73" s="94"/>
      <c r="F73" s="26"/>
      <c r="G73" s="26"/>
      <c r="H73" s="26"/>
      <c r="I73" s="408"/>
    </row>
    <row r="74" spans="1:11" x14ac:dyDescent="0.25">
      <c r="A74" s="408"/>
      <c r="B74" s="54"/>
      <c r="C74" s="91" t="s">
        <v>257</v>
      </c>
      <c r="D74" s="644"/>
      <c r="E74" s="94" t="s">
        <v>258</v>
      </c>
      <c r="F74" s="26"/>
      <c r="G74" s="26"/>
      <c r="H74" s="26"/>
      <c r="I74" s="408"/>
    </row>
    <row r="75" spans="1:11" x14ac:dyDescent="0.25">
      <c r="A75" s="408"/>
      <c r="B75" s="54"/>
      <c r="C75" s="730" t="s">
        <v>346</v>
      </c>
      <c r="D75" s="730"/>
      <c r="E75" s="730"/>
      <c r="F75" s="26"/>
      <c r="G75" s="26"/>
      <c r="H75" s="26"/>
      <c r="I75" s="408"/>
    </row>
    <row r="76" spans="1:11" x14ac:dyDescent="0.25">
      <c r="A76" s="408"/>
      <c r="B76" s="54"/>
      <c r="C76" s="91" t="s">
        <v>392</v>
      </c>
      <c r="D76" s="644"/>
      <c r="E76" s="94" t="s">
        <v>701</v>
      </c>
      <c r="F76" s="26"/>
      <c r="G76" s="26"/>
      <c r="H76" s="26"/>
      <c r="I76" s="408"/>
    </row>
    <row r="77" spans="1:11" x14ac:dyDescent="0.25">
      <c r="A77" s="408"/>
      <c r="B77" s="54"/>
      <c r="C77" s="91" t="s">
        <v>134</v>
      </c>
      <c r="D77" s="670"/>
      <c r="E77" s="94"/>
      <c r="F77" s="26"/>
      <c r="G77" s="26"/>
      <c r="H77" s="26"/>
      <c r="I77" s="408"/>
    </row>
    <row r="78" spans="1:11" x14ac:dyDescent="0.25">
      <c r="A78" s="408"/>
      <c r="B78" s="54"/>
      <c r="C78" s="91" t="s">
        <v>257</v>
      </c>
      <c r="D78" s="644"/>
      <c r="E78" s="94" t="s">
        <v>258</v>
      </c>
      <c r="F78" s="26"/>
      <c r="G78" s="26"/>
      <c r="H78" s="26"/>
      <c r="I78" s="408"/>
    </row>
    <row r="79" spans="1:11" x14ac:dyDescent="0.25">
      <c r="A79" s="408"/>
      <c r="B79" s="54"/>
      <c r="C79" s="730" t="s">
        <v>466</v>
      </c>
      <c r="D79" s="730"/>
      <c r="E79" s="730"/>
      <c r="F79" s="26"/>
      <c r="G79" s="26"/>
      <c r="H79" s="26"/>
      <c r="I79" s="408"/>
    </row>
    <row r="80" spans="1:11" x14ac:dyDescent="0.25">
      <c r="A80" s="408"/>
      <c r="B80" s="54"/>
      <c r="C80" s="91" t="s">
        <v>392</v>
      </c>
      <c r="D80" s="644"/>
      <c r="E80" s="94" t="s">
        <v>701</v>
      </c>
      <c r="F80" s="26"/>
      <c r="G80" s="26"/>
      <c r="H80" s="26"/>
      <c r="I80" s="408"/>
    </row>
    <row r="81" spans="1:9" x14ac:dyDescent="0.25">
      <c r="A81" s="408"/>
      <c r="B81" s="54"/>
      <c r="C81" s="91" t="s">
        <v>134</v>
      </c>
      <c r="D81" s="670"/>
      <c r="E81" s="94"/>
      <c r="F81" s="26"/>
      <c r="G81" s="26"/>
      <c r="H81" s="26"/>
      <c r="I81" s="408"/>
    </row>
    <row r="82" spans="1:9" x14ac:dyDescent="0.25">
      <c r="A82" s="408"/>
      <c r="B82" s="54"/>
      <c r="C82" s="91" t="s">
        <v>257</v>
      </c>
      <c r="D82" s="644"/>
      <c r="E82" s="94" t="s">
        <v>258</v>
      </c>
      <c r="F82" s="26"/>
      <c r="G82" s="26"/>
      <c r="H82" s="26"/>
      <c r="I82" s="408"/>
    </row>
    <row r="83" spans="1:9" x14ac:dyDescent="0.25">
      <c r="B83" s="54"/>
      <c r="C83" s="730" t="s">
        <v>259</v>
      </c>
      <c r="D83" s="730"/>
      <c r="E83" s="730"/>
      <c r="F83" s="26"/>
      <c r="G83" s="26"/>
      <c r="H83" s="26"/>
      <c r="I83" s="408"/>
    </row>
    <row r="84" spans="1:9" x14ac:dyDescent="0.25">
      <c r="B84" s="54"/>
      <c r="C84" s="91" t="s">
        <v>392</v>
      </c>
      <c r="D84" s="644"/>
      <c r="E84" s="94" t="s">
        <v>701</v>
      </c>
      <c r="F84" s="26"/>
      <c r="G84" s="26"/>
      <c r="H84" s="26"/>
      <c r="I84" s="408"/>
    </row>
    <row r="85" spans="1:9" x14ac:dyDescent="0.25">
      <c r="B85" s="54"/>
      <c r="C85" s="91" t="s">
        <v>134</v>
      </c>
      <c r="D85" s="670"/>
      <c r="E85" s="94"/>
      <c r="F85" s="26"/>
      <c r="G85" s="26"/>
      <c r="H85" s="26"/>
      <c r="I85" s="408"/>
    </row>
    <row r="86" spans="1:9" x14ac:dyDescent="0.25">
      <c r="B86" s="54"/>
      <c r="C86" s="91" t="s">
        <v>257</v>
      </c>
      <c r="D86" s="644"/>
      <c r="E86" s="94" t="s">
        <v>258</v>
      </c>
      <c r="F86" s="26"/>
      <c r="G86" s="26"/>
      <c r="H86" s="26"/>
      <c r="I86" s="408"/>
    </row>
    <row r="87" spans="1:9" x14ac:dyDescent="0.25">
      <c r="B87" s="54"/>
      <c r="C87" s="730" t="s">
        <v>573</v>
      </c>
      <c r="D87" s="730"/>
      <c r="E87" s="730"/>
      <c r="F87" s="26"/>
      <c r="G87" s="26"/>
      <c r="H87" s="26"/>
      <c r="I87" s="408"/>
    </row>
    <row r="88" spans="1:9" x14ac:dyDescent="0.25">
      <c r="B88" s="54"/>
      <c r="C88" s="91" t="s">
        <v>392</v>
      </c>
      <c r="D88" s="644"/>
      <c r="E88" s="94" t="s">
        <v>701</v>
      </c>
      <c r="F88" s="26"/>
      <c r="G88" s="26"/>
      <c r="H88" s="26"/>
      <c r="I88" s="408"/>
    </row>
    <row r="89" spans="1:9" x14ac:dyDescent="0.25">
      <c r="B89" s="54"/>
      <c r="C89" s="91" t="s">
        <v>134</v>
      </c>
      <c r="D89" s="670"/>
      <c r="E89" s="94"/>
      <c r="F89" s="26"/>
      <c r="G89" s="26"/>
      <c r="H89" s="26"/>
      <c r="I89" s="408"/>
    </row>
    <row r="90" spans="1:9" x14ac:dyDescent="0.25">
      <c r="B90" s="54"/>
      <c r="C90" s="91" t="s">
        <v>257</v>
      </c>
      <c r="D90" s="644"/>
      <c r="E90" s="94" t="s">
        <v>258</v>
      </c>
      <c r="F90" s="26"/>
      <c r="G90" s="26"/>
      <c r="H90" s="26"/>
      <c r="I90" s="408"/>
    </row>
    <row r="91" spans="1:9" ht="6" customHeight="1" x14ac:dyDescent="0.25">
      <c r="B91" s="54"/>
      <c r="C91" s="54"/>
      <c r="D91" s="54"/>
      <c r="E91" s="54"/>
      <c r="F91" s="54"/>
      <c r="G91" s="54"/>
      <c r="H91" s="54"/>
    </row>
    <row r="92" spans="1:9" x14ac:dyDescent="0.25">
      <c r="B92" s="85"/>
      <c r="C92" s="85"/>
      <c r="D92" s="85"/>
      <c r="E92" s="85"/>
      <c r="F92" s="85"/>
      <c r="G92" s="85"/>
      <c r="H92" s="85"/>
    </row>
    <row r="93" spans="1:9" ht="18.75" x14ac:dyDescent="0.25">
      <c r="B93" s="732" t="s">
        <v>961</v>
      </c>
      <c r="C93" s="732"/>
      <c r="D93" s="732"/>
      <c r="E93" s="732"/>
      <c r="F93" s="732"/>
      <c r="G93" s="732"/>
      <c r="H93" s="732"/>
    </row>
    <row r="94" spans="1:9" ht="6" customHeight="1" x14ac:dyDescent="0.25">
      <c r="B94" s="85"/>
      <c r="C94" s="85"/>
      <c r="D94" s="85"/>
      <c r="E94" s="85"/>
      <c r="F94" s="85"/>
      <c r="G94" s="85"/>
      <c r="H94" s="85"/>
    </row>
    <row r="95" spans="1:9" x14ac:dyDescent="0.25">
      <c r="B95" s="26"/>
      <c r="C95" s="91" t="s">
        <v>278</v>
      </c>
      <c r="D95" s="670">
        <v>1</v>
      </c>
      <c r="E95" s="659" t="str">
        <f>IF((SUM(D95:D96)=1),"","A soma das porcentagens de distribuição deve ser igual a 100%!")</f>
        <v/>
      </c>
      <c r="F95" s="229"/>
      <c r="G95" s="229"/>
      <c r="H95" s="291"/>
    </row>
    <row r="96" spans="1:9" x14ac:dyDescent="0.25">
      <c r="B96" s="26"/>
      <c r="C96" s="91" t="s">
        <v>714</v>
      </c>
      <c r="D96" s="670">
        <v>0</v>
      </c>
      <c r="E96" s="25"/>
      <c r="F96" s="229"/>
      <c r="G96" s="229"/>
      <c r="H96" s="291"/>
    </row>
    <row r="97" spans="2:8" ht="6" customHeight="1" x14ac:dyDescent="0.25">
      <c r="B97" s="229"/>
      <c r="C97" s="229"/>
      <c r="D97" s="25"/>
      <c r="E97" s="25"/>
      <c r="F97" s="229"/>
      <c r="G97" s="229"/>
      <c r="H97" s="291"/>
    </row>
    <row r="98" spans="2:8" x14ac:dyDescent="0.25">
      <c r="D98" s="71"/>
    </row>
    <row r="99" spans="2:8" x14ac:dyDescent="0.25">
      <c r="D99" s="71"/>
    </row>
    <row r="100" spans="2:8" x14ac:dyDescent="0.25">
      <c r="D100" s="71"/>
    </row>
    <row r="101" spans="2:8" x14ac:dyDescent="0.25">
      <c r="D101" s="71"/>
    </row>
    <row r="102" spans="2:8" x14ac:dyDescent="0.25">
      <c r="D102" s="71"/>
    </row>
    <row r="103" spans="2:8" x14ac:dyDescent="0.25">
      <c r="D103" s="71"/>
    </row>
    <row r="104" spans="2:8" x14ac:dyDescent="0.25">
      <c r="D104" s="71"/>
    </row>
    <row r="105" spans="2:8" x14ac:dyDescent="0.25">
      <c r="D105" s="71"/>
    </row>
    <row r="106" spans="2:8" x14ac:dyDescent="0.25">
      <c r="D106" s="71"/>
    </row>
    <row r="107" spans="2:8" x14ac:dyDescent="0.25">
      <c r="D107" s="71"/>
    </row>
    <row r="108" spans="2:8" x14ac:dyDescent="0.25">
      <c r="D108" s="71"/>
    </row>
    <row r="109" spans="2:8" x14ac:dyDescent="0.25">
      <c r="D109" s="71"/>
    </row>
    <row r="110" spans="2:8" x14ac:dyDescent="0.25">
      <c r="D110" s="71"/>
    </row>
    <row r="111" spans="2:8" x14ac:dyDescent="0.25">
      <c r="D111" s="71"/>
    </row>
    <row r="112" spans="2:8" x14ac:dyDescent="0.25">
      <c r="D112" s="71"/>
    </row>
    <row r="113" spans="4:4" x14ac:dyDescent="0.25">
      <c r="D113" s="71"/>
    </row>
    <row r="114" spans="4:4" x14ac:dyDescent="0.25">
      <c r="D114" s="71"/>
    </row>
    <row r="115" spans="4:4" x14ac:dyDescent="0.25">
      <c r="D115" s="71"/>
    </row>
    <row r="116" spans="4:4" x14ac:dyDescent="0.25">
      <c r="D116" s="71"/>
    </row>
    <row r="117" spans="4:4" x14ac:dyDescent="0.25">
      <c r="D117" s="71"/>
    </row>
    <row r="118" spans="4:4" x14ac:dyDescent="0.25">
      <c r="D118" s="71"/>
    </row>
    <row r="119" spans="4:4" x14ac:dyDescent="0.25">
      <c r="D119" s="71"/>
    </row>
    <row r="120" spans="4:4" x14ac:dyDescent="0.25">
      <c r="D120" s="71"/>
    </row>
    <row r="121" spans="4:4" x14ac:dyDescent="0.25">
      <c r="D121" s="71"/>
    </row>
    <row r="122" spans="4:4" x14ac:dyDescent="0.25">
      <c r="D122" s="71"/>
    </row>
    <row r="123" spans="4:4" x14ac:dyDescent="0.25">
      <c r="D123" s="71"/>
    </row>
    <row r="124" spans="4:4" x14ac:dyDescent="0.25">
      <c r="D124" s="71"/>
    </row>
    <row r="125" spans="4:4" x14ac:dyDescent="0.25">
      <c r="D125" s="71"/>
    </row>
    <row r="126" spans="4:4" x14ac:dyDescent="0.25">
      <c r="D126" s="71"/>
    </row>
    <row r="127" spans="4:4" x14ac:dyDescent="0.25">
      <c r="D127" s="71"/>
    </row>
    <row r="128" spans="4:4" x14ac:dyDescent="0.25">
      <c r="D128" s="71"/>
    </row>
    <row r="129" spans="4:4" x14ac:dyDescent="0.25">
      <c r="D129" s="71"/>
    </row>
    <row r="130" spans="4:4" x14ac:dyDescent="0.25">
      <c r="D130" s="71"/>
    </row>
    <row r="131" spans="4:4" x14ac:dyDescent="0.25">
      <c r="D131" s="71"/>
    </row>
    <row r="132" spans="4:4" x14ac:dyDescent="0.25">
      <c r="D132" s="71"/>
    </row>
    <row r="133" spans="4:4" x14ac:dyDescent="0.25">
      <c r="D133" s="71"/>
    </row>
    <row r="134" spans="4:4" x14ac:dyDescent="0.25">
      <c r="D134" s="71"/>
    </row>
    <row r="135" spans="4:4" x14ac:dyDescent="0.25">
      <c r="D135" s="71"/>
    </row>
    <row r="136" spans="4:4" x14ac:dyDescent="0.25">
      <c r="D136" s="71"/>
    </row>
    <row r="137" spans="4:4" x14ac:dyDescent="0.25">
      <c r="D137" s="71"/>
    </row>
    <row r="138" spans="4:4" x14ac:dyDescent="0.25">
      <c r="D138" s="71"/>
    </row>
    <row r="139" spans="4:4" x14ac:dyDescent="0.25">
      <c r="D139" s="71"/>
    </row>
    <row r="140" spans="4:4" x14ac:dyDescent="0.25">
      <c r="D140" s="71"/>
    </row>
    <row r="141" spans="4:4" x14ac:dyDescent="0.25">
      <c r="D141" s="71"/>
    </row>
    <row r="142" spans="4:4" x14ac:dyDescent="0.25">
      <c r="D142" s="71"/>
    </row>
    <row r="143" spans="4:4" x14ac:dyDescent="0.25">
      <c r="D143" s="71"/>
    </row>
    <row r="144" spans="4:4" x14ac:dyDescent="0.25">
      <c r="D144" s="71"/>
    </row>
    <row r="145" spans="4:4" x14ac:dyDescent="0.25">
      <c r="D145" s="71"/>
    </row>
    <row r="146" spans="4:4" x14ac:dyDescent="0.25">
      <c r="D146" s="71"/>
    </row>
    <row r="147" spans="4:4" x14ac:dyDescent="0.25">
      <c r="D147" s="71"/>
    </row>
    <row r="148" spans="4:4" x14ac:dyDescent="0.25">
      <c r="D148" s="71"/>
    </row>
    <row r="149" spans="4:4" x14ac:dyDescent="0.25">
      <c r="D149" s="71"/>
    </row>
    <row r="150" spans="4:4" x14ac:dyDescent="0.25">
      <c r="D150" s="71"/>
    </row>
    <row r="151" spans="4:4" x14ac:dyDescent="0.25">
      <c r="D151" s="71"/>
    </row>
    <row r="152" spans="4:4" x14ac:dyDescent="0.25">
      <c r="D152" s="71"/>
    </row>
    <row r="153" spans="4:4" x14ac:dyDescent="0.25">
      <c r="D153" s="71"/>
    </row>
    <row r="154" spans="4:4" x14ac:dyDescent="0.25">
      <c r="D154" s="71"/>
    </row>
    <row r="155" spans="4:4" x14ac:dyDescent="0.25">
      <c r="D155" s="71"/>
    </row>
    <row r="156" spans="4:4" x14ac:dyDescent="0.25">
      <c r="D156" s="71"/>
    </row>
    <row r="157" spans="4:4" x14ac:dyDescent="0.25">
      <c r="D157" s="71"/>
    </row>
    <row r="158" spans="4:4" x14ac:dyDescent="0.25">
      <c r="D158" s="71"/>
    </row>
    <row r="159" spans="4:4" x14ac:dyDescent="0.25">
      <c r="D159" s="71"/>
    </row>
    <row r="160" spans="4:4" x14ac:dyDescent="0.25">
      <c r="D160" s="71"/>
    </row>
    <row r="161" spans="4:4" x14ac:dyDescent="0.25">
      <c r="D161" s="71"/>
    </row>
    <row r="162" spans="4:4" x14ac:dyDescent="0.25">
      <c r="D162" s="71"/>
    </row>
    <row r="163" spans="4:4" x14ac:dyDescent="0.25">
      <c r="D163" s="71"/>
    </row>
    <row r="164" spans="4:4" x14ac:dyDescent="0.25">
      <c r="D164" s="71"/>
    </row>
    <row r="165" spans="4:4" x14ac:dyDescent="0.25">
      <c r="D165" s="71"/>
    </row>
    <row r="166" spans="4:4" x14ac:dyDescent="0.25">
      <c r="D166" s="71"/>
    </row>
    <row r="167" spans="4:4" x14ac:dyDescent="0.25">
      <c r="D167" s="71"/>
    </row>
    <row r="168" spans="4:4" x14ac:dyDescent="0.25">
      <c r="D168" s="71"/>
    </row>
    <row r="169" spans="4:4" x14ac:dyDescent="0.25">
      <c r="D169" s="71"/>
    </row>
    <row r="170" spans="4:4" x14ac:dyDescent="0.25">
      <c r="D170" s="71"/>
    </row>
    <row r="171" spans="4:4" x14ac:dyDescent="0.25">
      <c r="D171" s="71"/>
    </row>
    <row r="172" spans="4:4" x14ac:dyDescent="0.25">
      <c r="D172" s="71"/>
    </row>
    <row r="173" spans="4:4" x14ac:dyDescent="0.25">
      <c r="D173" s="71"/>
    </row>
    <row r="174" spans="4:4" x14ac:dyDescent="0.25">
      <c r="D174" s="71"/>
    </row>
    <row r="175" spans="4:4" x14ac:dyDescent="0.25">
      <c r="D175" s="71"/>
    </row>
    <row r="176" spans="4:4" x14ac:dyDescent="0.25">
      <c r="D176" s="71"/>
    </row>
    <row r="177" spans="4:4" x14ac:dyDescent="0.25">
      <c r="D177" s="71"/>
    </row>
    <row r="178" spans="4:4" x14ac:dyDescent="0.25">
      <c r="D178" s="71"/>
    </row>
    <row r="179" spans="4:4" x14ac:dyDescent="0.25">
      <c r="D179" s="71"/>
    </row>
    <row r="180" spans="4:4" x14ac:dyDescent="0.25">
      <c r="D180" s="71"/>
    </row>
    <row r="181" spans="4:4" x14ac:dyDescent="0.25">
      <c r="D181" s="71"/>
    </row>
    <row r="182" spans="4:4" x14ac:dyDescent="0.25">
      <c r="D182" s="71"/>
    </row>
    <row r="183" spans="4:4" x14ac:dyDescent="0.25">
      <c r="D183" s="71"/>
    </row>
    <row r="184" spans="4:4" x14ac:dyDescent="0.25">
      <c r="D184" s="71"/>
    </row>
    <row r="185" spans="4:4" x14ac:dyDescent="0.25">
      <c r="D185" s="71"/>
    </row>
    <row r="186" spans="4:4" x14ac:dyDescent="0.25">
      <c r="D186" s="71"/>
    </row>
    <row r="187" spans="4:4" x14ac:dyDescent="0.25">
      <c r="D187" s="71"/>
    </row>
    <row r="188" spans="4:4" x14ac:dyDescent="0.25">
      <c r="D188" s="71"/>
    </row>
    <row r="189" spans="4:4" x14ac:dyDescent="0.25">
      <c r="D189" s="71"/>
    </row>
    <row r="190" spans="4:4" x14ac:dyDescent="0.25">
      <c r="D190" s="71"/>
    </row>
    <row r="191" spans="4:4" x14ac:dyDescent="0.25">
      <c r="D191" s="71"/>
    </row>
    <row r="192" spans="4:4" x14ac:dyDescent="0.25">
      <c r="D192" s="71"/>
    </row>
    <row r="193" spans="4:4" x14ac:dyDescent="0.25">
      <c r="D193" s="71"/>
    </row>
    <row r="194" spans="4:4" x14ac:dyDescent="0.25">
      <c r="D194" s="71"/>
    </row>
    <row r="195" spans="4:4" x14ac:dyDescent="0.25">
      <c r="D195" s="71"/>
    </row>
    <row r="196" spans="4:4" x14ac:dyDescent="0.25">
      <c r="D196" s="71"/>
    </row>
    <row r="197" spans="4:4" x14ac:dyDescent="0.25">
      <c r="D197" s="71"/>
    </row>
    <row r="198" spans="4:4" x14ac:dyDescent="0.25">
      <c r="D198" s="71"/>
    </row>
    <row r="199" spans="4:4" x14ac:dyDescent="0.25">
      <c r="D199" s="71"/>
    </row>
    <row r="200" spans="4:4" x14ac:dyDescent="0.25">
      <c r="D200" s="71"/>
    </row>
    <row r="201" spans="4:4" x14ac:dyDescent="0.25">
      <c r="D201" s="71"/>
    </row>
    <row r="202" spans="4:4" x14ac:dyDescent="0.25">
      <c r="D202" s="71"/>
    </row>
    <row r="203" spans="4:4" x14ac:dyDescent="0.25">
      <c r="D203" s="71"/>
    </row>
    <row r="204" spans="4:4" x14ac:dyDescent="0.25">
      <c r="D204" s="71"/>
    </row>
    <row r="205" spans="4:4" x14ac:dyDescent="0.25">
      <c r="D205" s="71"/>
    </row>
    <row r="206" spans="4:4" x14ac:dyDescent="0.25">
      <c r="D206" s="71"/>
    </row>
    <row r="207" spans="4:4" x14ac:dyDescent="0.25">
      <c r="D207" s="71"/>
    </row>
    <row r="208" spans="4:4" x14ac:dyDescent="0.25">
      <c r="D208" s="71"/>
    </row>
    <row r="209" spans="4:4" x14ac:dyDescent="0.25">
      <c r="D209" s="71"/>
    </row>
    <row r="210" spans="4:4" x14ac:dyDescent="0.25">
      <c r="D210" s="71"/>
    </row>
    <row r="211" spans="4:4" x14ac:dyDescent="0.25">
      <c r="D211" s="71"/>
    </row>
    <row r="212" spans="4:4" x14ac:dyDescent="0.25">
      <c r="D212" s="71"/>
    </row>
    <row r="213" spans="4:4" x14ac:dyDescent="0.25">
      <c r="D213" s="71"/>
    </row>
    <row r="214" spans="4:4" x14ac:dyDescent="0.25">
      <c r="D214" s="71"/>
    </row>
    <row r="215" spans="4:4" x14ac:dyDescent="0.25">
      <c r="D215" s="71"/>
    </row>
    <row r="216" spans="4:4" x14ac:dyDescent="0.25">
      <c r="D216" s="71"/>
    </row>
    <row r="217" spans="4:4" x14ac:dyDescent="0.25">
      <c r="D217" s="71"/>
    </row>
    <row r="218" spans="4:4" x14ac:dyDescent="0.25">
      <c r="D218" s="71"/>
    </row>
    <row r="219" spans="4:4" x14ac:dyDescent="0.25">
      <c r="D219" s="71"/>
    </row>
    <row r="220" spans="4:4" x14ac:dyDescent="0.25">
      <c r="D220" s="71"/>
    </row>
    <row r="221" spans="4:4" x14ac:dyDescent="0.25">
      <c r="D221" s="71"/>
    </row>
    <row r="222" spans="4:4" x14ac:dyDescent="0.25">
      <c r="D222" s="71"/>
    </row>
    <row r="223" spans="4:4" x14ac:dyDescent="0.25">
      <c r="D223" s="71"/>
    </row>
    <row r="224" spans="4:4" x14ac:dyDescent="0.25">
      <c r="D224" s="71"/>
    </row>
    <row r="225" spans="4:4" x14ac:dyDescent="0.25">
      <c r="D225" s="71"/>
    </row>
    <row r="226" spans="4:4" x14ac:dyDescent="0.25">
      <c r="D226" s="71"/>
    </row>
    <row r="227" spans="4:4" x14ac:dyDescent="0.25">
      <c r="D227" s="71"/>
    </row>
    <row r="228" spans="4:4" x14ac:dyDescent="0.25">
      <c r="D228" s="71"/>
    </row>
    <row r="229" spans="4:4" x14ac:dyDescent="0.25">
      <c r="D229" s="71"/>
    </row>
    <row r="230" spans="4:4" x14ac:dyDescent="0.25">
      <c r="D230" s="71"/>
    </row>
    <row r="231" spans="4:4" x14ac:dyDescent="0.25">
      <c r="D231" s="71"/>
    </row>
    <row r="232" spans="4:4" x14ac:dyDescent="0.25">
      <c r="D232" s="71"/>
    </row>
    <row r="233" spans="4:4" x14ac:dyDescent="0.25">
      <c r="D233" s="71"/>
    </row>
    <row r="234" spans="4:4" x14ac:dyDescent="0.25">
      <c r="D234" s="71"/>
    </row>
    <row r="235" spans="4:4" x14ac:dyDescent="0.25">
      <c r="D235" s="71"/>
    </row>
    <row r="236" spans="4:4" x14ac:dyDescent="0.25">
      <c r="D236" s="71"/>
    </row>
    <row r="237" spans="4:4" x14ac:dyDescent="0.25">
      <c r="D237" s="71"/>
    </row>
    <row r="238" spans="4:4" x14ac:dyDescent="0.25">
      <c r="D238" s="71"/>
    </row>
    <row r="239" spans="4:4" x14ac:dyDescent="0.25">
      <c r="D239" s="71"/>
    </row>
    <row r="240" spans="4:4" x14ac:dyDescent="0.25">
      <c r="D240" s="71"/>
    </row>
    <row r="241" spans="4:4" x14ac:dyDescent="0.25">
      <c r="D241" s="71"/>
    </row>
    <row r="242" spans="4:4" x14ac:dyDescent="0.25">
      <c r="D242" s="71"/>
    </row>
    <row r="243" spans="4:4" x14ac:dyDescent="0.25">
      <c r="D243" s="71"/>
    </row>
    <row r="244" spans="4:4" x14ac:dyDescent="0.25">
      <c r="D244" s="71"/>
    </row>
    <row r="245" spans="4:4" x14ac:dyDescent="0.25">
      <c r="D245" s="71"/>
    </row>
    <row r="246" spans="4:4" x14ac:dyDescent="0.25">
      <c r="D246" s="71"/>
    </row>
    <row r="247" spans="4:4" x14ac:dyDescent="0.25">
      <c r="D247" s="71"/>
    </row>
    <row r="248" spans="4:4" x14ac:dyDescent="0.25">
      <c r="D248" s="71"/>
    </row>
    <row r="249" spans="4:4" x14ac:dyDescent="0.25">
      <c r="D249" s="71"/>
    </row>
    <row r="250" spans="4:4" x14ac:dyDescent="0.25">
      <c r="D250" s="71"/>
    </row>
    <row r="251" spans="4:4" x14ac:dyDescent="0.25">
      <c r="D251" s="71"/>
    </row>
    <row r="252" spans="4:4" x14ac:dyDescent="0.25">
      <c r="D252" s="71"/>
    </row>
    <row r="253" spans="4:4" x14ac:dyDescent="0.25">
      <c r="D253" s="71"/>
    </row>
    <row r="254" spans="4:4" x14ac:dyDescent="0.25">
      <c r="D254" s="71"/>
    </row>
    <row r="255" spans="4:4" x14ac:dyDescent="0.25">
      <c r="D255" s="71"/>
    </row>
    <row r="256" spans="4:4" x14ac:dyDescent="0.25">
      <c r="D256" s="71"/>
    </row>
    <row r="257" spans="4:4" x14ac:dyDescent="0.25">
      <c r="D257" s="71"/>
    </row>
    <row r="258" spans="4:4" x14ac:dyDescent="0.25">
      <c r="D258" s="71"/>
    </row>
    <row r="259" spans="4:4" x14ac:dyDescent="0.25">
      <c r="D259" s="71"/>
    </row>
    <row r="260" spans="4:4" x14ac:dyDescent="0.25">
      <c r="D260" s="71"/>
    </row>
    <row r="261" spans="4:4" x14ac:dyDescent="0.25">
      <c r="D261" s="71"/>
    </row>
    <row r="262" spans="4:4" x14ac:dyDescent="0.25">
      <c r="D262" s="71"/>
    </row>
    <row r="263" spans="4:4" x14ac:dyDescent="0.25">
      <c r="D263" s="71"/>
    </row>
    <row r="264" spans="4:4" x14ac:dyDescent="0.25">
      <c r="D264" s="71"/>
    </row>
    <row r="265" spans="4:4" x14ac:dyDescent="0.25">
      <c r="D265" s="71"/>
    </row>
    <row r="266" spans="4:4" x14ac:dyDescent="0.25">
      <c r="D266" s="71"/>
    </row>
    <row r="267" spans="4:4" x14ac:dyDescent="0.25">
      <c r="D267" s="71"/>
    </row>
    <row r="268" spans="4:4" x14ac:dyDescent="0.25">
      <c r="D268" s="71"/>
    </row>
    <row r="269" spans="4:4" x14ac:dyDescent="0.25">
      <c r="D269" s="71"/>
    </row>
    <row r="270" spans="4:4" x14ac:dyDescent="0.25">
      <c r="D270" s="71"/>
    </row>
  </sheetData>
  <sheetProtection password="E2B3" sheet="1" objects="1" scenarios="1" selectLockedCells="1"/>
  <mergeCells count="21">
    <mergeCell ref="C31:E31"/>
    <mergeCell ref="C36:E36"/>
    <mergeCell ref="C41:E41"/>
    <mergeCell ref="C46:E46"/>
    <mergeCell ref="C79:E79"/>
    <mergeCell ref="C83:E83"/>
    <mergeCell ref="C87:E87"/>
    <mergeCell ref="B93:H93"/>
    <mergeCell ref="B50:H50"/>
    <mergeCell ref="B55:H55"/>
    <mergeCell ref="C71:E71"/>
    <mergeCell ref="C75:E75"/>
    <mergeCell ref="B23:H23"/>
    <mergeCell ref="B24:H24"/>
    <mergeCell ref="C26:E26"/>
    <mergeCell ref="C4:H4"/>
    <mergeCell ref="C6:H6"/>
    <mergeCell ref="C8:H8"/>
    <mergeCell ref="C10:D10"/>
    <mergeCell ref="C13:D13"/>
    <mergeCell ref="D15:F15"/>
  </mergeCells>
  <dataValidations xWindow="865" yWindow="376" count="21">
    <dataValidation type="decimal" allowBlank="1" showInputMessage="1" showErrorMessage="1" error="Número inválido. " prompt="No campo BX, X representa o teor de mistura de biodiesel vigente no ano de referência para o preenchimento." sqref="G63" xr:uid="{00000000-0002-0000-1300-000000000000}">
      <formula1>0</formula1>
      <formula2>1</formula2>
    </dataValidation>
    <dataValidation type="decimal" allowBlank="1" showInputMessage="1" showErrorMessage="1" error="Número inválido. " prompt="Teor de umidade:_x000a__x000a_Massa de água / Massa total" sqref="D89 D77 D81 D85 D73" xr:uid="{00000000-0002-0000-1300-000001000000}">
      <formula1>0</formula1>
      <formula2>1</formula2>
    </dataValidation>
    <dataValidation type="decimal" allowBlank="1" showInputMessage="1" showErrorMessage="1" error="Número inválido." prompt="Informar o teor de metano do biogás, aferido antes de qualquer enriquecimento do gás com gás natural, propano ou GLP." sqref="G52" xr:uid="{00000000-0002-0000-1300-000002000000}">
      <formula1>0</formula1>
      <formula2>1</formula2>
    </dataValidation>
    <dataValidation type="custom" allowBlank="1" showInputMessage="1" showErrorMessage="1" error="Número inválido. " prompt="Informar o Poder Calorífico Inferior (PCI) do biometano, aferido antes de qualquer enriquecimento do gás com gás natural, propano ou GLP." sqref="G51" xr:uid="{00000000-0002-0000-1300-000003000000}">
      <formula1>IF(AND(G51&lt;=50,G51&gt;=30,G51=ROUND(G51,2)),G51,"")</formula1>
    </dataValidation>
    <dataValidation type="decimal" allowBlank="1" showInputMessage="1" showErrorMessage="1" error="Número inválido" prompt="Refere-se ao percentual do volume de biometano comercializado que é distribuido (distância percorrida da usina até o posto de combustível) via sistema logístico exclusivamente Rodoviário." sqref="D95" xr:uid="{00000000-0002-0000-1300-000004000000}">
      <formula1>0</formula1>
      <formula2>1</formula2>
    </dataValidation>
    <dataValidation type="decimal" allowBlank="1" showInputMessage="1" showErrorMessage="1" error="Número inválido." prompt="Refere-se ao percentual do volume de biometano comercializado que é injetado diretamente na rede via sistema Dutoviário._x000a_" sqref="D96" xr:uid="{00000000-0002-0000-1300-000005000000}">
      <formula1>0</formula1>
      <formula2>1</formula2>
    </dataValidation>
    <dataValidation type="list" allowBlank="1" showInputMessage="1" showErrorMessage="1" prompt="Informar o tipo de resíduo processado para conversão em biometano." sqref="C26:E26 C31:E31 C36:E36 C41:E41 C46:E46" xr:uid="{00000000-0002-0000-1300-000006000000}">
      <formula1>Residuos</formula1>
    </dataValidation>
    <dataValidation allowBlank="1" showInputMessage="1" showErrorMessage="1" prompt="Esta é uma informação padrão (não penalizada) da RenovaCalc e não um campo de insersão de dados primários da unidade produtora." sqref="B93:H93" xr:uid="{00000000-0002-0000-1300-000007000000}"/>
    <dataValidation type="custom" allowBlank="1" showInputMessage="1" showErrorMessage="1" error="Número inválido. " prompt="Informar o Poder Calorífico Inferior (PCI) do biogás." sqref="G68:G69" xr:uid="{00000000-0002-0000-1300-000008000000}">
      <formula1>IF(AND(G68&lt;=50,G68&gt;=30,G68=ROUND(G68,2)),G68,"")</formula1>
    </dataValidation>
    <dataValidation type="custom" allowBlank="1" showInputMessage="1" showErrorMessage="1" error="Número inválido. Podem ser preenchidos números com até duas casas decimais." prompt="Refere-se à quantidade total anual de combustíveis sólidos, por fonte." sqref="D88 D72 D76 D80 D84" xr:uid="{00000000-0002-0000-1300-000009000000}">
      <formula1>IF(AND(D72&gt;=0,D72=ROUND(D72,2)),D72,"")</formula1>
    </dataValidation>
    <dataValidation type="custom" allowBlank="1" showInputMessage="1" showErrorMessage="1" error="Número inválido. Podem ser preenchidos números com até duas casas decimais." prompt="Refere-se a quantidade total de resíduo, por tipo, processada anualmente para conversão em biometano." sqref="D27 D32 D37 D42 D47" xr:uid="{00000000-0002-0000-1300-00000A000000}">
      <formula1>IF(AND(D27&gt;=0,D27=ROUND(D27,2)),D27,"")</formula1>
    </dataValidation>
    <dataValidation type="custom" allowBlank="1" showInputMessage="1" showErrorMessage="1" error="Número inválido. Podem ser preenchidos números com até duas casas decimais." prompt="Refere-se à distância média ponderada de transporte do fornecedor à usina." sqref="D48 D28 D33 D38 D43" xr:uid="{00000000-0002-0000-1300-00000B000000}">
      <formula1>IF(AND(D28&gt;=0,D28=ROUND(D28,2)),D28,"")</formula1>
    </dataValidation>
    <dataValidation type="custom" allowBlank="1" showInputMessage="1" showErrorMessage="1" error="Número inválido. Podem ser preenchidos números com até duas casas decimais." prompt="Refere-se ao volume total anual de biometano produzido, calculado com base nas condições padrão de pressão e temperatura (101,325 kPa e 273,15 K, respectivamente)." sqref="D51" xr:uid="{00000000-0002-0000-1300-00000C000000}">
      <formula1>IF(AND(D51&gt;=0,D51=ROUND(D51,2)),D51,"")</formula1>
    </dataValidation>
    <dataValidation type="custom" allowBlank="1" showInputMessage="1" showErrorMessage="1" error="Número inválido. Podem ser preenchidos números com até duas casas decimais." prompt="Refere-se à quantidade total anual de eletricidade comercializada." sqref="D53" xr:uid="{00000000-0002-0000-1300-00000D000000}">
      <formula1>IF(AND(D53&gt;=0,D53=ROUND(D53,2)),D53,"")</formula1>
    </dataValidation>
    <dataValidation type="custom" allowBlank="1" showInputMessage="1" showErrorMessage="1" error="Número inválido. Podem ser preenchidos números com até duas casas decimais." prompt="Refere-se ao consumo total anual de eletricidade, por fonte." sqref="D56:D60" xr:uid="{00000000-0002-0000-1300-00000E000000}">
      <formula1>IF(AND(D56&gt;=0,D56=ROUND(D56,2)),D56,"")</formula1>
    </dataValidation>
    <dataValidation type="custom" allowBlank="1" showInputMessage="1" showErrorMessage="1" error="Número inválido. Podem ser preenchidos números com até duas casas decimais." prompt="Refere-se ao consumo total anual de combustíveis, por fonte." sqref="D61:D70" xr:uid="{00000000-0002-0000-1300-00000F000000}">
      <formula1>IF(AND(D61&gt;=0,D61=ROUND(D61,2)),D61,"")</formula1>
    </dataValidation>
    <dataValidation type="custom" allowBlank="1" showInputMessage="1" showErrorMessage="1" error="Número inválido. Podem ser preenchidos números com até duas casas decimais." prompt="Distância média ponderada de transporte da palha do fornecedor até a usina." sqref="D90" xr:uid="{00000000-0002-0000-1300-000010000000}">
      <formula1>IF(AND(D90&gt;=0,D90=ROUND(D90,2)),D90,"")</formula1>
    </dataValidation>
    <dataValidation type="custom" allowBlank="1" showInputMessage="1" showErrorMessage="1" error="Número inválido. Podem ser preenchidos números com até duas casas decimais." prompt="Distância média ponderada de transporte do bagaço do fornecedor até a usina." sqref="D86" xr:uid="{00000000-0002-0000-1300-000011000000}">
      <formula1>IF(AND(D86&gt;=0,D86=ROUND(D86,2)),D86,"")</formula1>
    </dataValidation>
    <dataValidation type="custom" allowBlank="1" showInputMessage="1" showErrorMessage="1" error="Número inválido. Podem ser preenchidos números com até duas casas decimais." prompt="Distância média ponderada de transporte do cavaco do fornecedor até a usina." sqref="D74" xr:uid="{00000000-0002-0000-1300-000012000000}">
      <formula1>IF(AND(D74&gt;=0,D74=ROUND(D74,2)),D74,"")</formula1>
    </dataValidation>
    <dataValidation type="custom" allowBlank="1" showInputMessage="1" showErrorMessage="1" error="Número inválido. Podem ser preenchidos números com até duas casas decimais." prompt="Distância média ponderada de transporte da lenha do fornecedor até a usina." sqref="D78" xr:uid="{00000000-0002-0000-1300-000013000000}">
      <formula1>IF(AND(D78&gt;=0,D78=ROUND(D78,2)),D78,"")</formula1>
    </dataValidation>
    <dataValidation type="custom" allowBlank="1" showInputMessage="1" showErrorMessage="1" error="Número inválido. Podem ser preenchidos números com até duas casas decimais." prompt="Distância média ponderada de transporte dos resíduos florestais do fornecedor até a usina." sqref="D82" xr:uid="{00000000-0002-0000-1300-000014000000}">
      <formula1>IF(AND(D82&gt;=0,D82=ROUND(D82,2)),D82,"")</formula1>
    </dataValidation>
  </dataValidations>
  <pageMargins left="0.511811024" right="0.511811024" top="0.78740157499999996" bottom="0.78740157499999996" header="0.31496062000000002" footer="0.31496062000000002"/>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Plan15">
    <tabColor rgb="FFFFBA00"/>
  </sheetPr>
  <dimension ref="A2:CY82"/>
  <sheetViews>
    <sheetView showGridLines="0" workbookViewId="0">
      <selection activeCell="D77" sqref="D77"/>
    </sheetView>
  </sheetViews>
  <sheetFormatPr defaultColWidth="9.140625" defaultRowHeight="15" x14ac:dyDescent="0.25"/>
  <cols>
    <col min="1" max="1" width="3.5703125" style="42" customWidth="1"/>
    <col min="2" max="2" width="36.5703125" style="42" bestFit="1" customWidth="1"/>
    <col min="3" max="3" width="15.42578125" style="42" bestFit="1" customWidth="1"/>
    <col min="4" max="4" width="22" style="42" customWidth="1"/>
    <col min="5" max="5" width="22" style="42" bestFit="1" customWidth="1"/>
    <col min="6" max="6" width="40.140625" style="42" customWidth="1"/>
    <col min="7" max="7" width="2.7109375" style="42" customWidth="1"/>
    <col min="8" max="8" width="17.7109375" style="42" customWidth="1"/>
    <col min="9" max="16384" width="9.140625" style="42"/>
  </cols>
  <sheetData>
    <row r="2" spans="1:103" ht="18.75" x14ac:dyDescent="0.25">
      <c r="B2" s="741" t="s">
        <v>537</v>
      </c>
      <c r="C2" s="741"/>
      <c r="D2" s="741"/>
      <c r="E2" s="741"/>
      <c r="F2" s="741"/>
      <c r="G2" s="453"/>
    </row>
    <row r="3" spans="1:103" x14ac:dyDescent="0.25">
      <c r="B3" s="279"/>
      <c r="C3" s="739" t="s">
        <v>262</v>
      </c>
      <c r="D3" s="739"/>
      <c r="E3" s="279"/>
      <c r="F3" s="279"/>
      <c r="G3" s="231"/>
    </row>
    <row r="4" spans="1:103" ht="21" x14ac:dyDescent="0.25">
      <c r="B4" s="307" t="s">
        <v>536</v>
      </c>
      <c r="C4" s="752" t="e">
        <f>SUM(C5:C7)</f>
        <v>#DIV/0!</v>
      </c>
      <c r="D4" s="752"/>
      <c r="E4" s="307"/>
      <c r="F4" s="307"/>
      <c r="G4" s="617"/>
    </row>
    <row r="5" spans="1:103" x14ac:dyDescent="0.25">
      <c r="B5" s="273" t="s">
        <v>181</v>
      </c>
      <c r="C5" s="237" t="e">
        <f>H62</f>
        <v>#DIV/0!</v>
      </c>
      <c r="D5" s="258" t="e">
        <f t="shared" ref="D5:D7" si="0">C5/$C$4</f>
        <v>#DIV/0!</v>
      </c>
      <c r="E5" s="237"/>
      <c r="F5" s="237"/>
      <c r="G5" s="618"/>
    </row>
    <row r="6" spans="1:103" x14ac:dyDescent="0.25">
      <c r="B6" s="273" t="s">
        <v>170</v>
      </c>
      <c r="C6" s="237" t="e">
        <f>D82</f>
        <v>#DIV/0!</v>
      </c>
      <c r="D6" s="258" t="e">
        <f t="shared" si="0"/>
        <v>#DIV/0!</v>
      </c>
      <c r="E6" s="237"/>
      <c r="F6" s="237"/>
      <c r="G6" s="618"/>
    </row>
    <row r="7" spans="1:103" x14ac:dyDescent="0.25">
      <c r="B7" s="273" t="s">
        <v>63</v>
      </c>
      <c r="C7" s="237">
        <f>'FE''s queima combustíveis'!$I$12</f>
        <v>3.4827055034308922</v>
      </c>
      <c r="D7" s="258" t="e">
        <f t="shared" si="0"/>
        <v>#DIV/0!</v>
      </c>
      <c r="E7" s="237"/>
      <c r="F7" s="237"/>
      <c r="G7" s="618"/>
    </row>
    <row r="8" spans="1:103" s="1" customFormat="1" x14ac:dyDescent="0.25">
      <c r="A8"/>
      <c r="B8"/>
      <c r="C8"/>
      <c r="D8"/>
      <c r="E8"/>
      <c r="F8"/>
      <c r="H8"/>
    </row>
    <row r="9" spans="1:103" s="1" customFormat="1" x14ac:dyDescent="0.25">
      <c r="A9"/>
      <c r="B9"/>
      <c r="C9"/>
      <c r="D9"/>
      <c r="E9"/>
      <c r="F9"/>
      <c r="H9"/>
    </row>
    <row r="10" spans="1:103" s="85" customFormat="1" ht="18.75" x14ac:dyDescent="0.25">
      <c r="B10" s="737" t="s">
        <v>715</v>
      </c>
      <c r="C10" s="737"/>
      <c r="D10" s="737"/>
      <c r="E10" s="737"/>
      <c r="F10" s="737"/>
      <c r="G10" s="453"/>
      <c r="H10" s="740" t="s">
        <v>943</v>
      </c>
      <c r="BZ10" s="323" t="e">
        <f>#REF!*CD14</f>
        <v>#REF!</v>
      </c>
      <c r="CA10" s="157"/>
      <c r="CB10" s="327"/>
      <c r="CC10" s="327"/>
      <c r="CD10" s="327"/>
      <c r="CE10" s="327"/>
      <c r="CF10" s="327"/>
      <c r="CG10" s="327"/>
      <c r="CH10" s="327"/>
      <c r="CI10" s="327"/>
      <c r="CJ10" s="327"/>
      <c r="CK10" s="327"/>
      <c r="CL10" s="327"/>
      <c r="CM10" s="327"/>
      <c r="CN10" s="327"/>
      <c r="CO10" s="327"/>
      <c r="CP10" s="327"/>
      <c r="CQ10" s="327"/>
      <c r="CR10" s="327"/>
      <c r="CS10" s="327"/>
      <c r="CT10" s="327"/>
      <c r="CU10" s="327"/>
      <c r="CV10" s="327"/>
      <c r="CW10" s="327"/>
      <c r="CX10" s="327"/>
    </row>
    <row r="11" spans="1:103" s="85" customFormat="1" x14ac:dyDescent="0.25">
      <c r="B11" s="279" t="s">
        <v>495</v>
      </c>
      <c r="C11" s="387" t="s">
        <v>0</v>
      </c>
      <c r="D11" s="387" t="s">
        <v>723</v>
      </c>
      <c r="E11" s="387" t="s">
        <v>29</v>
      </c>
      <c r="F11" s="387" t="s">
        <v>330</v>
      </c>
      <c r="G11" s="583"/>
      <c r="H11" s="740"/>
      <c r="I11" s="88"/>
      <c r="CA11" s="327"/>
      <c r="CB11" s="347"/>
      <c r="CC11" s="327"/>
      <c r="CD11" s="327"/>
      <c r="CE11" s="327"/>
      <c r="CF11" s="327"/>
      <c r="CG11" s="327"/>
      <c r="CH11" s="327"/>
      <c r="CI11" s="327"/>
      <c r="CJ11" s="327"/>
      <c r="CK11" s="327"/>
      <c r="CL11" s="327"/>
      <c r="CM11" s="327"/>
      <c r="CN11" s="327"/>
      <c r="CO11" s="327"/>
      <c r="CP11" s="327"/>
      <c r="CQ11" s="327"/>
      <c r="CR11" s="327"/>
      <c r="CS11" s="327"/>
      <c r="CT11" s="327"/>
      <c r="CU11" s="327"/>
      <c r="CV11" s="327"/>
      <c r="CW11" s="327"/>
      <c r="CX11" s="327"/>
      <c r="CY11" s="327"/>
    </row>
    <row r="12" spans="1:103" s="85" customFormat="1" x14ac:dyDescent="0.25">
      <c r="B12" s="273" t="s">
        <v>514</v>
      </c>
      <c r="C12" s="273" t="s">
        <v>169</v>
      </c>
      <c r="D12" s="294">
        <f>Biometano!D51</f>
        <v>0</v>
      </c>
      <c r="E12" s="344">
        <f>D12*Biometano!G51</f>
        <v>0</v>
      </c>
      <c r="F12" s="258" t="e">
        <f>E12/SUM($E$12:$E$13)</f>
        <v>#DIV/0!</v>
      </c>
      <c r="G12" s="585"/>
      <c r="H12" s="740"/>
      <c r="I12" s="88"/>
      <c r="CA12" s="348"/>
      <c r="CB12" s="327"/>
      <c r="CC12" s="327"/>
      <c r="CD12" s="327"/>
      <c r="CE12" s="327"/>
      <c r="CF12" s="327"/>
      <c r="CG12" s="327"/>
      <c r="CH12" s="327"/>
      <c r="CI12" s="327"/>
      <c r="CJ12" s="327"/>
      <c r="CK12" s="327"/>
      <c r="CL12" s="327"/>
      <c r="CM12" s="327"/>
      <c r="CN12" s="327"/>
      <c r="CO12" s="327"/>
      <c r="CP12" s="327"/>
      <c r="CQ12" s="327"/>
      <c r="CR12" s="327"/>
      <c r="CS12" s="327"/>
      <c r="CT12" s="327"/>
      <c r="CU12" s="327"/>
      <c r="CV12" s="327"/>
      <c r="CW12" s="327"/>
      <c r="CX12" s="327"/>
      <c r="CY12" s="327"/>
    </row>
    <row r="13" spans="1:103" s="85" customFormat="1" x14ac:dyDescent="0.25">
      <c r="B13" s="273" t="s">
        <v>48</v>
      </c>
      <c r="C13" s="273" t="s">
        <v>57</v>
      </c>
      <c r="D13" s="294">
        <f>Biometano!D53</f>
        <v>0</v>
      </c>
      <c r="E13" s="344">
        <f>CONVERT(D13,"kWh","MJ")</f>
        <v>0</v>
      </c>
      <c r="F13" s="258" t="e">
        <f>E13/SUM($E$12:$E$13)</f>
        <v>#DIV/0!</v>
      </c>
      <c r="G13" s="585"/>
      <c r="H13" s="740"/>
      <c r="I13" s="88"/>
      <c r="CA13" s="323"/>
      <c r="CB13" s="327"/>
      <c r="CC13" s="327"/>
      <c r="CD13" s="327"/>
      <c r="CE13" s="327"/>
      <c r="CF13" s="327"/>
      <c r="CG13" s="327"/>
      <c r="CH13" s="327"/>
      <c r="CI13" s="327"/>
      <c r="CJ13" s="327"/>
      <c r="CK13" s="327"/>
      <c r="CL13" s="327"/>
      <c r="CM13" s="327"/>
      <c r="CN13" s="327"/>
      <c r="CO13" s="327"/>
      <c r="CP13" s="327"/>
      <c r="CQ13" s="327"/>
      <c r="CR13" s="327"/>
      <c r="CS13" s="327"/>
      <c r="CT13" s="327"/>
      <c r="CU13" s="327"/>
      <c r="CV13" s="327"/>
      <c r="CW13" s="327"/>
      <c r="CX13" s="327"/>
      <c r="CY13" s="327"/>
    </row>
    <row r="14" spans="1:103" s="85" customFormat="1" ht="18" x14ac:dyDescent="0.25">
      <c r="B14" s="281" t="s">
        <v>58</v>
      </c>
      <c r="C14" s="387" t="s">
        <v>0</v>
      </c>
      <c r="D14" s="387" t="s">
        <v>723</v>
      </c>
      <c r="E14" s="282"/>
      <c r="F14" s="283" t="s">
        <v>722</v>
      </c>
      <c r="G14" s="272"/>
      <c r="H14" s="283" t="s">
        <v>535</v>
      </c>
      <c r="I14" s="88"/>
      <c r="CA14" s="349" t="e">
        <v>#REF!</v>
      </c>
      <c r="CB14" s="327" t="e">
        <f>D12/CA14</f>
        <v>#REF!</v>
      </c>
      <c r="CC14" s="327" t="e">
        <f>CB14*1000</f>
        <v>#REF!</v>
      </c>
      <c r="CD14" s="327" t="e">
        <f>CC14/D12</f>
        <v>#REF!</v>
      </c>
      <c r="CE14" s="327"/>
      <c r="CF14" s="327"/>
      <c r="CG14" s="327"/>
      <c r="CH14" s="327"/>
      <c r="CI14" s="327"/>
      <c r="CJ14" s="327"/>
      <c r="CK14" s="327"/>
      <c r="CL14" s="327"/>
      <c r="CM14" s="327"/>
      <c r="CN14" s="327"/>
      <c r="CO14" s="327"/>
      <c r="CP14" s="327"/>
      <c r="CQ14" s="327"/>
      <c r="CR14" s="327"/>
      <c r="CS14" s="327"/>
      <c r="CT14" s="327"/>
      <c r="CU14" s="327"/>
      <c r="CV14" s="327"/>
      <c r="CW14" s="327"/>
      <c r="CX14" s="327"/>
      <c r="CY14" s="327"/>
    </row>
    <row r="15" spans="1:103" s="85" customFormat="1" x14ac:dyDescent="0.25">
      <c r="B15" s="284" t="s">
        <v>691</v>
      </c>
      <c r="C15" s="285"/>
      <c r="D15" s="285"/>
      <c r="E15" s="288"/>
      <c r="F15" s="289"/>
      <c r="G15" s="593"/>
      <c r="H15" s="289"/>
      <c r="I15" s="88"/>
      <c r="CA15" s="349"/>
      <c r="CB15" s="327"/>
      <c r="CC15" s="327"/>
      <c r="CD15" s="327"/>
      <c r="CE15" s="327"/>
      <c r="CF15" s="327"/>
      <c r="CG15" s="327"/>
      <c r="CH15" s="327"/>
      <c r="CI15" s="327"/>
      <c r="CJ15" s="327"/>
      <c r="CK15" s="327"/>
      <c r="CL15" s="327"/>
      <c r="CM15" s="327"/>
      <c r="CN15" s="327"/>
      <c r="CO15" s="327"/>
      <c r="CP15" s="327"/>
      <c r="CQ15" s="327"/>
      <c r="CR15" s="327"/>
      <c r="CS15" s="327"/>
      <c r="CT15" s="327"/>
      <c r="CU15" s="327"/>
      <c r="CV15" s="327"/>
      <c r="CW15" s="327"/>
      <c r="CX15" s="327"/>
      <c r="CY15" s="327"/>
    </row>
    <row r="16" spans="1:103" s="85" customFormat="1" x14ac:dyDescent="0.25">
      <c r="B16" s="273" t="s">
        <v>260</v>
      </c>
      <c r="C16" s="273" t="s">
        <v>138</v>
      </c>
      <c r="D16" s="301">
        <f>Biometano!$D$27</f>
        <v>0</v>
      </c>
      <c r="E16" s="259"/>
      <c r="F16" s="407">
        <v>0</v>
      </c>
      <c r="G16" s="610"/>
      <c r="H16" s="550" t="e">
        <f>(F16*$F$12)/$E$12</f>
        <v>#DIV/0!</v>
      </c>
      <c r="I16" s="329"/>
      <c r="J16" s="329"/>
      <c r="CA16" s="350"/>
      <c r="CB16" s="327"/>
      <c r="CC16" s="327"/>
      <c r="CD16" s="327"/>
      <c r="CE16" s="327"/>
      <c r="CF16" s="327"/>
      <c r="CG16" s="327"/>
      <c r="CH16" s="327"/>
      <c r="CI16" s="327"/>
      <c r="CJ16" s="327"/>
      <c r="CK16" s="327"/>
      <c r="CL16" s="327"/>
      <c r="CM16" s="327"/>
      <c r="CN16" s="327"/>
      <c r="CO16" s="327"/>
      <c r="CP16" s="327"/>
      <c r="CQ16" s="327"/>
      <c r="CR16" s="327"/>
      <c r="CS16" s="327"/>
      <c r="CT16" s="327"/>
      <c r="CU16" s="327"/>
      <c r="CV16" s="327"/>
      <c r="CW16" s="327"/>
      <c r="CX16" s="327"/>
      <c r="CY16" s="327"/>
    </row>
    <row r="17" spans="2:103" s="85" customFormat="1" x14ac:dyDescent="0.25">
      <c r="B17" s="273" t="s">
        <v>717</v>
      </c>
      <c r="C17" s="273" t="s">
        <v>47</v>
      </c>
      <c r="D17" s="294">
        <f>D16*Biometano!$D$28</f>
        <v>0</v>
      </c>
      <c r="E17" s="259"/>
      <c r="F17" s="294">
        <f>D17*'Dados auxiliares'!$H$132</f>
        <v>0</v>
      </c>
      <c r="G17" s="595"/>
      <c r="H17" s="550" t="e">
        <f t="shared" ref="H17:H62" si="1">(F17*$F$12)/$E$12</f>
        <v>#DIV/0!</v>
      </c>
      <c r="J17" s="328"/>
    </row>
    <row r="18" spans="2:103" s="85" customFormat="1" x14ac:dyDescent="0.25">
      <c r="B18" s="273" t="s">
        <v>261</v>
      </c>
      <c r="C18" s="273" t="s">
        <v>138</v>
      </c>
      <c r="D18" s="301">
        <f>Biometano!$D$32</f>
        <v>0</v>
      </c>
      <c r="E18" s="259"/>
      <c r="F18" s="407">
        <v>0</v>
      </c>
      <c r="G18" s="610"/>
      <c r="H18" s="550" t="e">
        <f t="shared" si="1"/>
        <v>#DIV/0!</v>
      </c>
      <c r="J18" s="328"/>
    </row>
    <row r="19" spans="2:103" s="85" customFormat="1" x14ac:dyDescent="0.25">
      <c r="B19" s="273" t="s">
        <v>718</v>
      </c>
      <c r="C19" s="273" t="s">
        <v>47</v>
      </c>
      <c r="D19" s="294">
        <f>D18*Biometano!$D$33</f>
        <v>0</v>
      </c>
      <c r="E19" s="259"/>
      <c r="F19" s="294">
        <f>D19*'Dados auxiliares'!$H$132</f>
        <v>0</v>
      </c>
      <c r="G19" s="595"/>
      <c r="H19" s="550" t="e">
        <f t="shared" si="1"/>
        <v>#DIV/0!</v>
      </c>
      <c r="J19" s="328"/>
    </row>
    <row r="20" spans="2:103" s="85" customFormat="1" x14ac:dyDescent="0.25">
      <c r="B20" s="273" t="s">
        <v>327</v>
      </c>
      <c r="C20" s="273" t="s">
        <v>138</v>
      </c>
      <c r="D20" s="301">
        <f>Biometano!$D$37</f>
        <v>0</v>
      </c>
      <c r="E20" s="259"/>
      <c r="F20" s="407">
        <v>0</v>
      </c>
      <c r="G20" s="610"/>
      <c r="H20" s="550" t="e">
        <f t="shared" si="1"/>
        <v>#DIV/0!</v>
      </c>
      <c r="J20" s="328"/>
    </row>
    <row r="21" spans="2:103" s="85" customFormat="1" x14ac:dyDescent="0.25">
      <c r="B21" s="273" t="s">
        <v>719</v>
      </c>
      <c r="C21" s="273" t="s">
        <v>47</v>
      </c>
      <c r="D21" s="294">
        <f>D20*Biometano!$D$38</f>
        <v>0</v>
      </c>
      <c r="E21" s="259"/>
      <c r="F21" s="294">
        <f>D21*'Dados auxiliares'!$H$132</f>
        <v>0</v>
      </c>
      <c r="G21" s="595"/>
      <c r="H21" s="550" t="e">
        <f t="shared" si="1"/>
        <v>#DIV/0!</v>
      </c>
      <c r="J21" s="328"/>
    </row>
    <row r="22" spans="2:103" s="85" customFormat="1" x14ac:dyDescent="0.25">
      <c r="B22" s="273" t="s">
        <v>328</v>
      </c>
      <c r="C22" s="273" t="s">
        <v>138</v>
      </c>
      <c r="D22" s="301">
        <f>Biometano!$D$42</f>
        <v>0</v>
      </c>
      <c r="E22" s="259"/>
      <c r="F22" s="407">
        <v>0</v>
      </c>
      <c r="G22" s="610"/>
      <c r="H22" s="550" t="e">
        <f t="shared" si="1"/>
        <v>#DIV/0!</v>
      </c>
      <c r="J22" s="328"/>
    </row>
    <row r="23" spans="2:103" s="85" customFormat="1" x14ac:dyDescent="0.25">
      <c r="B23" s="273" t="s">
        <v>720</v>
      </c>
      <c r="C23" s="273" t="s">
        <v>47</v>
      </c>
      <c r="D23" s="294">
        <f>D22*Biometano!$D$43</f>
        <v>0</v>
      </c>
      <c r="E23" s="259"/>
      <c r="F23" s="294">
        <f>D23*'Dados auxiliares'!$H$132</f>
        <v>0</v>
      </c>
      <c r="G23" s="595"/>
      <c r="H23" s="550" t="e">
        <f t="shared" si="1"/>
        <v>#DIV/0!</v>
      </c>
      <c r="J23" s="328"/>
    </row>
    <row r="24" spans="2:103" s="85" customFormat="1" x14ac:dyDescent="0.25">
      <c r="B24" s="273" t="s">
        <v>329</v>
      </c>
      <c r="C24" s="273" t="s">
        <v>138</v>
      </c>
      <c r="D24" s="301">
        <f>Biometano!$D$47</f>
        <v>0</v>
      </c>
      <c r="E24" s="259"/>
      <c r="F24" s="407">
        <v>0</v>
      </c>
      <c r="G24" s="610"/>
      <c r="H24" s="550" t="e">
        <f t="shared" si="1"/>
        <v>#DIV/0!</v>
      </c>
      <c r="J24" s="328"/>
    </row>
    <row r="25" spans="2:103" s="85" customFormat="1" x14ac:dyDescent="0.25">
      <c r="B25" s="273" t="s">
        <v>721</v>
      </c>
      <c r="C25" s="273" t="s">
        <v>47</v>
      </c>
      <c r="D25" s="294">
        <f>D24*Biometano!$D$48</f>
        <v>0</v>
      </c>
      <c r="E25" s="259"/>
      <c r="F25" s="294">
        <f>D25*'Dados auxiliares'!$H$132</f>
        <v>0</v>
      </c>
      <c r="G25" s="595"/>
      <c r="H25" s="550" t="e">
        <f t="shared" si="1"/>
        <v>#DIV/0!</v>
      </c>
      <c r="J25" s="328"/>
    </row>
    <row r="26" spans="2:103" s="85" customFormat="1" x14ac:dyDescent="0.25">
      <c r="B26" s="284" t="s">
        <v>455</v>
      </c>
      <c r="C26" s="285"/>
      <c r="D26" s="285"/>
      <c r="E26" s="288"/>
      <c r="F26" s="289"/>
      <c r="G26" s="593"/>
      <c r="H26" s="289"/>
      <c r="J26" s="328"/>
    </row>
    <row r="27" spans="2:103" s="85" customFormat="1" x14ac:dyDescent="0.25">
      <c r="B27" s="94" t="s">
        <v>376</v>
      </c>
      <c r="C27" s="94" t="s">
        <v>57</v>
      </c>
      <c r="D27" s="294">
        <f>Biometano!D56*1000</f>
        <v>0</v>
      </c>
      <c r="E27" s="259"/>
      <c r="F27" s="238">
        <f>D27*'Dados auxiliares'!$H$107</f>
        <v>0</v>
      </c>
      <c r="G27" s="590"/>
      <c r="H27" s="550" t="e">
        <f t="shared" si="1"/>
        <v>#DIV/0!</v>
      </c>
      <c r="I27" s="328"/>
      <c r="CA27" s="351"/>
      <c r="CB27" s="327"/>
      <c r="CC27" s="327"/>
      <c r="CD27" s="327"/>
      <c r="CE27" s="352"/>
      <c r="CF27" s="327"/>
      <c r="CG27" s="327"/>
      <c r="CH27" s="327"/>
      <c r="CI27" s="327"/>
      <c r="CJ27" s="327"/>
      <c r="CK27" s="327"/>
      <c r="CL27" s="327"/>
      <c r="CM27" s="327"/>
      <c r="CN27" s="327"/>
      <c r="CO27" s="327"/>
      <c r="CP27" s="327"/>
      <c r="CQ27" s="327"/>
      <c r="CR27" s="327"/>
      <c r="CS27" s="327"/>
      <c r="CT27" s="327"/>
      <c r="CU27" s="327"/>
      <c r="CV27" s="327"/>
      <c r="CW27" s="327"/>
      <c r="CX27" s="327"/>
      <c r="CY27" s="327"/>
    </row>
    <row r="28" spans="2:103" s="85" customFormat="1" x14ac:dyDescent="0.25">
      <c r="B28" s="94" t="s">
        <v>375</v>
      </c>
      <c r="C28" s="94" t="s">
        <v>57</v>
      </c>
      <c r="D28" s="294">
        <f>Biometano!D57*1000</f>
        <v>0</v>
      </c>
      <c r="E28" s="259"/>
      <c r="F28" s="238">
        <f>D28*'Dados auxiliares'!$H$108</f>
        <v>0</v>
      </c>
      <c r="G28" s="590"/>
      <c r="H28" s="550" t="e">
        <f t="shared" si="1"/>
        <v>#DIV/0!</v>
      </c>
      <c r="I28" s="328"/>
      <c r="CA28" s="351"/>
      <c r="CB28" s="327"/>
      <c r="CC28" s="327"/>
      <c r="CD28" s="327"/>
      <c r="CE28" s="352"/>
      <c r="CF28" s="327"/>
      <c r="CG28" s="327"/>
      <c r="CH28" s="327"/>
      <c r="CI28" s="327"/>
      <c r="CJ28" s="327"/>
      <c r="CK28" s="327"/>
      <c r="CL28" s="327"/>
      <c r="CM28" s="327"/>
      <c r="CN28" s="327"/>
      <c r="CO28" s="327"/>
      <c r="CP28" s="327"/>
      <c r="CQ28" s="327"/>
      <c r="CR28" s="327"/>
      <c r="CS28" s="327"/>
      <c r="CT28" s="327"/>
      <c r="CU28" s="327"/>
      <c r="CV28" s="327"/>
      <c r="CW28" s="327"/>
      <c r="CX28" s="327"/>
      <c r="CY28" s="327"/>
    </row>
    <row r="29" spans="2:103" s="85" customFormat="1" x14ac:dyDescent="0.25">
      <c r="B29" s="94" t="s">
        <v>372</v>
      </c>
      <c r="C29" s="94" t="s">
        <v>57</v>
      </c>
      <c r="D29" s="294">
        <f>Biometano!D58*1000</f>
        <v>0</v>
      </c>
      <c r="E29" s="259"/>
      <c r="F29" s="238">
        <f>D29*'Dados auxiliares'!$H$109</f>
        <v>0</v>
      </c>
      <c r="G29" s="590"/>
      <c r="H29" s="550" t="e">
        <f t="shared" si="1"/>
        <v>#DIV/0!</v>
      </c>
      <c r="I29" s="328"/>
      <c r="CA29" s="351"/>
      <c r="CB29" s="327"/>
      <c r="CC29" s="327"/>
      <c r="CD29" s="327"/>
      <c r="CE29" s="352"/>
      <c r="CF29" s="327"/>
      <c r="CG29" s="327"/>
      <c r="CH29" s="327"/>
      <c r="CI29" s="327"/>
      <c r="CJ29" s="327"/>
      <c r="CK29" s="327"/>
      <c r="CL29" s="327"/>
      <c r="CM29" s="327"/>
      <c r="CN29" s="327"/>
      <c r="CO29" s="327"/>
      <c r="CP29" s="327"/>
      <c r="CQ29" s="327"/>
      <c r="CR29" s="327"/>
      <c r="CS29" s="327"/>
      <c r="CT29" s="327"/>
      <c r="CU29" s="327"/>
      <c r="CV29" s="327"/>
      <c r="CW29" s="327"/>
      <c r="CX29" s="327"/>
      <c r="CY29" s="327"/>
    </row>
    <row r="30" spans="2:103" s="85" customFormat="1" x14ac:dyDescent="0.25">
      <c r="B30" s="94" t="s">
        <v>373</v>
      </c>
      <c r="C30" s="94" t="s">
        <v>57</v>
      </c>
      <c r="D30" s="294">
        <f>Biometano!D59*1000</f>
        <v>0</v>
      </c>
      <c r="E30" s="259"/>
      <c r="F30" s="238">
        <f>D30*'Dados auxiliares'!$H$110</f>
        <v>0</v>
      </c>
      <c r="G30" s="590"/>
      <c r="H30" s="550" t="e">
        <f t="shared" si="1"/>
        <v>#DIV/0!</v>
      </c>
      <c r="I30" s="328"/>
      <c r="CA30" s="351"/>
      <c r="CB30" s="327"/>
      <c r="CC30" s="327"/>
      <c r="CD30" s="327"/>
      <c r="CE30" s="352"/>
      <c r="CF30" s="327"/>
      <c r="CG30" s="327"/>
      <c r="CH30" s="327"/>
      <c r="CI30" s="327"/>
      <c r="CJ30" s="327"/>
      <c r="CK30" s="327"/>
      <c r="CL30" s="327"/>
      <c r="CM30" s="327"/>
      <c r="CN30" s="327"/>
      <c r="CO30" s="327"/>
      <c r="CP30" s="327"/>
      <c r="CQ30" s="327"/>
      <c r="CR30" s="327"/>
      <c r="CS30" s="327"/>
      <c r="CT30" s="327"/>
      <c r="CU30" s="327"/>
      <c r="CV30" s="327"/>
      <c r="CW30" s="327"/>
      <c r="CX30" s="327"/>
      <c r="CY30" s="327"/>
    </row>
    <row r="31" spans="2:103" s="85" customFormat="1" x14ac:dyDescent="0.25">
      <c r="B31" s="94" t="s">
        <v>374</v>
      </c>
      <c r="C31" s="94" t="s">
        <v>57</v>
      </c>
      <c r="D31" s="294">
        <f>Biometano!D60*1000</f>
        <v>0</v>
      </c>
      <c r="E31" s="259"/>
      <c r="F31" s="238">
        <f>D31*'Dados auxiliares'!$H$111</f>
        <v>0</v>
      </c>
      <c r="G31" s="590"/>
      <c r="H31" s="550" t="e">
        <f t="shared" si="1"/>
        <v>#DIV/0!</v>
      </c>
      <c r="I31" s="328"/>
      <c r="CA31" s="351"/>
      <c r="CB31" s="327"/>
      <c r="CC31" s="327"/>
      <c r="CD31" s="327"/>
      <c r="CE31" s="352"/>
      <c r="CF31" s="327"/>
      <c r="CG31" s="327"/>
      <c r="CH31" s="327"/>
      <c r="CI31" s="327"/>
      <c r="CJ31" s="327"/>
      <c r="CK31" s="327"/>
      <c r="CL31" s="327"/>
      <c r="CM31" s="327"/>
      <c r="CN31" s="327"/>
      <c r="CO31" s="327"/>
      <c r="CP31" s="327"/>
      <c r="CQ31" s="327"/>
      <c r="CR31" s="327"/>
      <c r="CS31" s="327"/>
      <c r="CT31" s="327"/>
      <c r="CU31" s="327"/>
      <c r="CV31" s="327"/>
      <c r="CW31" s="327"/>
      <c r="CX31" s="327"/>
      <c r="CY31" s="327"/>
    </row>
    <row r="32" spans="2:103" s="85" customFormat="1" x14ac:dyDescent="0.25">
      <c r="B32" s="94" t="s">
        <v>309</v>
      </c>
      <c r="C32" s="94" t="s">
        <v>1</v>
      </c>
      <c r="D32" s="294">
        <f>((Biometano!$D$61*(1-0.08)+Biometano!$D$62*(1-0.1)+Biometano!$D$63*(1-Biometano!$G$63)+Biometano!$D$64*(1-0.2)+Biometano!$D$65*(1-0.3)+Biometano!$D$66*(1-1))*('Dados auxiliares'!$D$26))*1000</f>
        <v>0</v>
      </c>
      <c r="E32" s="259"/>
      <c r="F32" s="238">
        <f>D32*'Dados auxiliares'!$H$116</f>
        <v>0</v>
      </c>
      <c r="G32" s="590"/>
      <c r="H32" s="550" t="e">
        <f t="shared" si="1"/>
        <v>#DIV/0!</v>
      </c>
      <c r="I32" s="328"/>
      <c r="CA32" s="351"/>
      <c r="CB32" s="327"/>
      <c r="CC32" s="327"/>
      <c r="CD32" s="327"/>
      <c r="CE32" s="327"/>
      <c r="CF32" s="327"/>
      <c r="CG32" s="327"/>
      <c r="CH32" s="327"/>
      <c r="CI32" s="327"/>
      <c r="CJ32" s="327"/>
      <c r="CK32" s="327"/>
      <c r="CL32" s="327"/>
      <c r="CM32" s="327"/>
      <c r="CN32" s="327"/>
      <c r="CO32" s="327"/>
      <c r="CP32" s="327"/>
      <c r="CQ32" s="327"/>
      <c r="CR32" s="327"/>
      <c r="CS32" s="327"/>
      <c r="CT32" s="327"/>
      <c r="CU32" s="327"/>
      <c r="CV32" s="327"/>
      <c r="CW32" s="327"/>
      <c r="CX32" s="327"/>
      <c r="CY32" s="327"/>
    </row>
    <row r="33" spans="2:103" s="85" customFormat="1" x14ac:dyDescent="0.25">
      <c r="B33" s="94" t="s">
        <v>187</v>
      </c>
      <c r="C33" s="94" t="s">
        <v>1</v>
      </c>
      <c r="D33" s="294">
        <f>((Biometano!$D$61*(0.08)+Biometano!$D$62*(0.1)+Biometano!$D$63*(Biometano!$G$63)+Biometano!$D$64*(0.2)+Biometano!$D$65*(0.3)+Biometano!$D$66*(1))*('Dados auxiliares'!$D$17))*1000</f>
        <v>0</v>
      </c>
      <c r="E33" s="259"/>
      <c r="F33" s="238">
        <f>D33*'Dados auxiliares'!$H$117</f>
        <v>0</v>
      </c>
      <c r="G33" s="590"/>
      <c r="H33" s="550" t="e">
        <f t="shared" si="1"/>
        <v>#DIV/0!</v>
      </c>
      <c r="I33" s="328"/>
      <c r="CA33" s="351"/>
      <c r="CB33" s="327"/>
      <c r="CC33" s="327"/>
      <c r="CD33" s="327"/>
      <c r="CE33" s="327"/>
      <c r="CF33" s="327"/>
      <c r="CG33" s="327"/>
      <c r="CH33" s="327"/>
      <c r="CI33" s="327"/>
      <c r="CJ33" s="327"/>
      <c r="CK33" s="327"/>
      <c r="CL33" s="327"/>
      <c r="CM33" s="327"/>
      <c r="CN33" s="327"/>
      <c r="CO33" s="327"/>
      <c r="CP33" s="327"/>
      <c r="CQ33" s="327"/>
      <c r="CR33" s="327"/>
      <c r="CS33" s="327"/>
      <c r="CT33" s="327"/>
      <c r="CU33" s="327"/>
      <c r="CV33" s="327"/>
      <c r="CW33" s="327"/>
      <c r="CX33" s="327"/>
      <c r="CY33" s="327"/>
    </row>
    <row r="34" spans="2:103" s="85" customFormat="1" x14ac:dyDescent="0.25">
      <c r="B34" s="94" t="s">
        <v>845</v>
      </c>
      <c r="C34" s="94" t="s">
        <v>1</v>
      </c>
      <c r="D34" s="294">
        <f>Biometano!D67*'Dados auxiliares'!$D$30*1000</f>
        <v>0</v>
      </c>
      <c r="E34" s="259"/>
      <c r="F34" s="238">
        <f>D34*'Dados auxiliares'!$H$126</f>
        <v>0</v>
      </c>
      <c r="G34" s="590"/>
      <c r="H34" s="550" t="e">
        <f t="shared" si="1"/>
        <v>#DIV/0!</v>
      </c>
      <c r="I34" s="328"/>
      <c r="CA34" s="351"/>
      <c r="CB34" s="327"/>
      <c r="CC34" s="327"/>
      <c r="CD34" s="327"/>
      <c r="CE34" s="327"/>
      <c r="CF34" s="327"/>
      <c r="CG34" s="327"/>
      <c r="CH34" s="327"/>
      <c r="CI34" s="327"/>
      <c r="CJ34" s="327"/>
      <c r="CK34" s="327"/>
      <c r="CL34" s="327"/>
      <c r="CM34" s="327"/>
      <c r="CN34" s="327"/>
      <c r="CO34" s="327"/>
      <c r="CP34" s="327"/>
      <c r="CQ34" s="327"/>
      <c r="CR34" s="327"/>
      <c r="CS34" s="327"/>
      <c r="CT34" s="327"/>
      <c r="CU34" s="327"/>
      <c r="CV34" s="327"/>
      <c r="CW34" s="327"/>
      <c r="CX34" s="327"/>
      <c r="CY34" s="327"/>
    </row>
    <row r="35" spans="2:103" s="85" customFormat="1" x14ac:dyDescent="0.25">
      <c r="B35" s="94" t="s">
        <v>923</v>
      </c>
      <c r="C35" s="94" t="s">
        <v>169</v>
      </c>
      <c r="D35" s="294">
        <f>Biometano!D68</f>
        <v>0</v>
      </c>
      <c r="E35" s="259"/>
      <c r="F35" s="238">
        <f>D35*Biometano!G68*'Dados auxiliares'!$H$125</f>
        <v>0</v>
      </c>
      <c r="G35" s="590"/>
      <c r="H35" s="550" t="e">
        <f t="shared" si="1"/>
        <v>#DIV/0!</v>
      </c>
      <c r="I35" s="328"/>
      <c r="CA35" s="351"/>
      <c r="CB35" s="327"/>
      <c r="CC35" s="327"/>
      <c r="CD35" s="327"/>
      <c r="CE35" s="327"/>
      <c r="CF35" s="327"/>
      <c r="CG35" s="327"/>
      <c r="CH35" s="327"/>
      <c r="CI35" s="327"/>
      <c r="CJ35" s="327"/>
      <c r="CK35" s="327"/>
      <c r="CL35" s="327"/>
      <c r="CM35" s="327"/>
      <c r="CN35" s="327"/>
      <c r="CO35" s="327"/>
      <c r="CP35" s="327"/>
      <c r="CQ35" s="327"/>
      <c r="CR35" s="327"/>
      <c r="CS35" s="327"/>
      <c r="CT35" s="327"/>
      <c r="CU35" s="327"/>
      <c r="CV35" s="327"/>
      <c r="CW35" s="327"/>
      <c r="CX35" s="327"/>
      <c r="CY35" s="327"/>
    </row>
    <row r="36" spans="2:103" s="85" customFormat="1" x14ac:dyDescent="0.25">
      <c r="B36" s="273" t="s">
        <v>572</v>
      </c>
      <c r="C36" s="273" t="s">
        <v>169</v>
      </c>
      <c r="D36" s="237">
        <f>Biometano!D70</f>
        <v>0</v>
      </c>
      <c r="E36" s="237"/>
      <c r="F36" s="238">
        <f>D36*'Dados auxiliares'!$H$115</f>
        <v>0</v>
      </c>
      <c r="G36" s="590"/>
      <c r="H36" s="550" t="e">
        <f t="shared" si="1"/>
        <v>#DIV/0!</v>
      </c>
      <c r="I36" s="328"/>
      <c r="CA36" s="351"/>
      <c r="CB36" s="327"/>
      <c r="CC36" s="327"/>
      <c r="CD36" s="327"/>
      <c r="CE36" s="327"/>
      <c r="CF36" s="327"/>
      <c r="CG36" s="327"/>
      <c r="CH36" s="327"/>
      <c r="CI36" s="327"/>
      <c r="CJ36" s="327"/>
      <c r="CK36" s="327"/>
      <c r="CL36" s="327"/>
      <c r="CM36" s="327"/>
      <c r="CN36" s="327"/>
      <c r="CO36" s="327"/>
      <c r="CP36" s="327"/>
      <c r="CQ36" s="327"/>
      <c r="CR36" s="327"/>
      <c r="CS36" s="327"/>
      <c r="CT36" s="327"/>
      <c r="CU36" s="327"/>
      <c r="CV36" s="327"/>
      <c r="CW36" s="327"/>
      <c r="CX36" s="327"/>
      <c r="CY36" s="327"/>
    </row>
    <row r="37" spans="2:103" s="85" customFormat="1" ht="18" x14ac:dyDescent="0.25">
      <c r="B37" s="273" t="s">
        <v>106</v>
      </c>
      <c r="C37" s="273" t="s">
        <v>506</v>
      </c>
      <c r="D37" s="278">
        <f>Biometano!$D$72*(1-Biometano!$D$73)*1000</f>
        <v>0</v>
      </c>
      <c r="E37" s="259"/>
      <c r="F37" s="278">
        <f>D37*'Dados auxiliares'!$H$123</f>
        <v>0</v>
      </c>
      <c r="G37" s="598"/>
      <c r="H37" s="550" t="e">
        <f t="shared" si="1"/>
        <v>#DIV/0!</v>
      </c>
      <c r="I37" s="328"/>
      <c r="CA37" s="351"/>
      <c r="CB37" s="327"/>
      <c r="CC37" s="327"/>
      <c r="CD37" s="327"/>
      <c r="CE37" s="327"/>
      <c r="CF37" s="327"/>
      <c r="CG37" s="327"/>
      <c r="CH37" s="327"/>
      <c r="CI37" s="327"/>
      <c r="CJ37" s="327"/>
      <c r="CK37" s="327"/>
      <c r="CL37" s="327"/>
      <c r="CM37" s="327"/>
      <c r="CN37" s="327"/>
      <c r="CO37" s="327"/>
      <c r="CP37" s="327"/>
      <c r="CQ37" s="327"/>
      <c r="CR37" s="327"/>
      <c r="CS37" s="327"/>
      <c r="CT37" s="327"/>
      <c r="CU37" s="327"/>
      <c r="CV37" s="327"/>
      <c r="CW37" s="327"/>
      <c r="CX37" s="327"/>
      <c r="CY37" s="327"/>
    </row>
    <row r="38" spans="2:103" s="85" customFormat="1" x14ac:dyDescent="0.25">
      <c r="B38" s="273" t="s">
        <v>500</v>
      </c>
      <c r="C38" s="273" t="s">
        <v>47</v>
      </c>
      <c r="D38" s="278">
        <f>((D37/1000)*Biometano!$D$74)</f>
        <v>0</v>
      </c>
      <c r="E38" s="259"/>
      <c r="F38" s="278">
        <f>D38*'Dados auxiliares'!$H$131</f>
        <v>0</v>
      </c>
      <c r="G38" s="598"/>
      <c r="H38" s="550" t="e">
        <f t="shared" si="1"/>
        <v>#DIV/0!</v>
      </c>
      <c r="I38" s="328"/>
      <c r="CA38" s="351"/>
      <c r="CB38" s="327"/>
      <c r="CC38" s="327"/>
      <c r="CD38" s="327"/>
      <c r="CE38" s="327"/>
      <c r="CF38" s="327"/>
      <c r="CG38" s="327"/>
      <c r="CH38" s="327"/>
      <c r="CI38" s="327"/>
      <c r="CJ38" s="327"/>
      <c r="CK38" s="327"/>
      <c r="CL38" s="327"/>
      <c r="CM38" s="327"/>
      <c r="CN38" s="327"/>
      <c r="CO38" s="327"/>
      <c r="CP38" s="327"/>
      <c r="CQ38" s="327"/>
      <c r="CR38" s="327"/>
      <c r="CS38" s="327"/>
      <c r="CT38" s="327"/>
      <c r="CU38" s="327"/>
      <c r="CV38" s="327"/>
      <c r="CW38" s="327"/>
      <c r="CX38" s="327"/>
      <c r="CY38" s="327"/>
    </row>
    <row r="39" spans="2:103" s="85" customFormat="1" ht="18" x14ac:dyDescent="0.25">
      <c r="B39" s="273" t="s">
        <v>347</v>
      </c>
      <c r="C39" s="273" t="s">
        <v>506</v>
      </c>
      <c r="D39" s="278">
        <f>Biometano!$D$76*(1-Biometano!$D$77)*1000</f>
        <v>0</v>
      </c>
      <c r="E39" s="259"/>
      <c r="F39" s="278">
        <f>D39*'Dados auxiliares'!$H$124</f>
        <v>0</v>
      </c>
      <c r="G39" s="598"/>
      <c r="H39" s="550" t="e">
        <f t="shared" si="1"/>
        <v>#DIV/0!</v>
      </c>
      <c r="I39" s="328"/>
      <c r="CA39" s="351"/>
      <c r="CB39" s="327"/>
      <c r="CC39" s="327"/>
      <c r="CD39" s="327"/>
      <c r="CE39" s="327"/>
      <c r="CF39" s="327"/>
      <c r="CG39" s="327"/>
      <c r="CH39" s="327"/>
      <c r="CI39" s="327"/>
      <c r="CJ39" s="327"/>
      <c r="CK39" s="327"/>
      <c r="CL39" s="327"/>
      <c r="CM39" s="327"/>
      <c r="CN39" s="327"/>
      <c r="CO39" s="327"/>
      <c r="CP39" s="327"/>
      <c r="CQ39" s="327"/>
      <c r="CR39" s="327"/>
      <c r="CS39" s="327"/>
      <c r="CT39" s="327"/>
      <c r="CU39" s="327"/>
      <c r="CV39" s="327"/>
      <c r="CW39" s="327"/>
      <c r="CX39" s="327"/>
      <c r="CY39" s="327"/>
    </row>
    <row r="40" spans="2:103" s="85" customFormat="1" x14ac:dyDescent="0.25">
      <c r="B40" s="273" t="s">
        <v>503</v>
      </c>
      <c r="C40" s="273" t="s">
        <v>47</v>
      </c>
      <c r="D40" s="278">
        <f>((D39/1000)*Biometano!$D$78)</f>
        <v>0</v>
      </c>
      <c r="E40" s="259"/>
      <c r="F40" s="278">
        <f>D40*'Dados auxiliares'!$H$131</f>
        <v>0</v>
      </c>
      <c r="G40" s="598"/>
      <c r="H40" s="550" t="e">
        <f t="shared" si="1"/>
        <v>#DIV/0!</v>
      </c>
      <c r="I40" s="328"/>
      <c r="CA40" s="351"/>
      <c r="CB40" s="327"/>
      <c r="CC40" s="327"/>
      <c r="CD40" s="327"/>
      <c r="CE40" s="327"/>
      <c r="CF40" s="327"/>
      <c r="CG40" s="327"/>
      <c r="CH40" s="327"/>
      <c r="CI40" s="327"/>
      <c r="CJ40" s="327"/>
      <c r="CK40" s="327"/>
      <c r="CL40" s="327"/>
      <c r="CM40" s="327"/>
      <c r="CN40" s="327"/>
      <c r="CO40" s="327"/>
      <c r="CP40" s="327"/>
      <c r="CQ40" s="327"/>
      <c r="CR40" s="327"/>
      <c r="CS40" s="327"/>
      <c r="CT40" s="327"/>
      <c r="CU40" s="327"/>
      <c r="CV40" s="327"/>
      <c r="CW40" s="327"/>
      <c r="CX40" s="327"/>
      <c r="CY40" s="327"/>
    </row>
    <row r="41" spans="2:103" s="85" customFormat="1" ht="18" x14ac:dyDescent="0.25">
      <c r="B41" s="273" t="s">
        <v>466</v>
      </c>
      <c r="C41" s="273" t="s">
        <v>506</v>
      </c>
      <c r="D41" s="278">
        <f>Biometano!$D$80*(1-Biometano!$D$81)*1000</f>
        <v>0</v>
      </c>
      <c r="E41" s="259"/>
      <c r="F41" s="277">
        <v>0</v>
      </c>
      <c r="G41" s="544"/>
      <c r="H41" s="550" t="e">
        <f t="shared" si="1"/>
        <v>#DIV/0!</v>
      </c>
      <c r="I41" s="328"/>
      <c r="CA41" s="351"/>
      <c r="CB41" s="327"/>
      <c r="CC41" s="327"/>
      <c r="CD41" s="327"/>
      <c r="CE41" s="327"/>
      <c r="CF41" s="327"/>
      <c r="CG41" s="327"/>
      <c r="CH41" s="327"/>
      <c r="CI41" s="327"/>
      <c r="CJ41" s="327"/>
      <c r="CK41" s="327"/>
      <c r="CL41" s="327"/>
      <c r="CM41" s="327"/>
      <c r="CN41" s="327"/>
      <c r="CO41" s="327"/>
      <c r="CP41" s="327"/>
      <c r="CQ41" s="327"/>
      <c r="CR41" s="327"/>
      <c r="CS41" s="327"/>
      <c r="CT41" s="327"/>
      <c r="CU41" s="327"/>
      <c r="CV41" s="327"/>
      <c r="CW41" s="327"/>
      <c r="CX41" s="327"/>
      <c r="CY41" s="327"/>
    </row>
    <row r="42" spans="2:103" s="85" customFormat="1" x14ac:dyDescent="0.25">
      <c r="B42" s="273" t="s">
        <v>504</v>
      </c>
      <c r="C42" s="273" t="s">
        <v>47</v>
      </c>
      <c r="D42" s="278">
        <f>((D41/1000)*Biometano!$D$82)</f>
        <v>0</v>
      </c>
      <c r="E42" s="259"/>
      <c r="F42" s="278">
        <f>D42*'Dados auxiliares'!$H$131</f>
        <v>0</v>
      </c>
      <c r="G42" s="598"/>
      <c r="H42" s="550" t="e">
        <f t="shared" si="1"/>
        <v>#DIV/0!</v>
      </c>
      <c r="I42" s="328"/>
      <c r="CA42" s="351"/>
      <c r="CB42" s="327"/>
      <c r="CC42" s="327"/>
      <c r="CD42" s="327"/>
      <c r="CE42" s="327"/>
      <c r="CF42" s="327"/>
      <c r="CG42" s="327"/>
      <c r="CH42" s="327"/>
      <c r="CI42" s="327"/>
      <c r="CJ42" s="327"/>
      <c r="CK42" s="327"/>
      <c r="CL42" s="327"/>
      <c r="CM42" s="327"/>
      <c r="CN42" s="327"/>
      <c r="CO42" s="327"/>
      <c r="CP42" s="327"/>
      <c r="CQ42" s="327"/>
      <c r="CR42" s="327"/>
      <c r="CS42" s="327"/>
      <c r="CT42" s="327"/>
      <c r="CU42" s="327"/>
      <c r="CV42" s="327"/>
      <c r="CW42" s="327"/>
      <c r="CX42" s="327"/>
      <c r="CY42" s="327"/>
    </row>
    <row r="43" spans="2:103" s="85" customFormat="1" ht="18" x14ac:dyDescent="0.25">
      <c r="B43" s="273" t="s">
        <v>575</v>
      </c>
      <c r="C43" s="273" t="s">
        <v>506</v>
      </c>
      <c r="D43" s="278">
        <f>Biometano!$D$84*(1-Biometano!$D$85)*1000</f>
        <v>0</v>
      </c>
      <c r="E43" s="259"/>
      <c r="F43" s="277">
        <v>0</v>
      </c>
      <c r="G43" s="544"/>
      <c r="H43" s="550" t="e">
        <f t="shared" si="1"/>
        <v>#DIV/0!</v>
      </c>
      <c r="I43" s="328"/>
      <c r="CA43" s="351"/>
      <c r="CB43" s="327"/>
      <c r="CC43" s="327"/>
      <c r="CD43" s="327"/>
      <c r="CE43" s="327"/>
      <c r="CF43" s="327"/>
      <c r="CG43" s="327"/>
      <c r="CH43" s="327"/>
      <c r="CI43" s="327"/>
      <c r="CJ43" s="327"/>
      <c r="CK43" s="327"/>
      <c r="CL43" s="327"/>
      <c r="CM43" s="327"/>
      <c r="CN43" s="327"/>
      <c r="CO43" s="327"/>
      <c r="CP43" s="327"/>
      <c r="CQ43" s="327"/>
      <c r="CR43" s="327"/>
      <c r="CS43" s="327"/>
      <c r="CT43" s="327"/>
      <c r="CU43" s="327"/>
      <c r="CV43" s="327"/>
      <c r="CW43" s="327"/>
      <c r="CX43" s="327"/>
      <c r="CY43" s="327"/>
    </row>
    <row r="44" spans="2:103" s="85" customFormat="1" x14ac:dyDescent="0.25">
      <c r="B44" s="273" t="s">
        <v>576</v>
      </c>
      <c r="C44" s="273" t="s">
        <v>47</v>
      </c>
      <c r="D44" s="278">
        <f>((D43/1000)*Biometano!$D$86)</f>
        <v>0</v>
      </c>
      <c r="E44" s="259"/>
      <c r="F44" s="278">
        <f>D44*'Dados auxiliares'!$H$131</f>
        <v>0</v>
      </c>
      <c r="G44" s="598"/>
      <c r="H44" s="550" t="e">
        <f t="shared" si="1"/>
        <v>#DIV/0!</v>
      </c>
      <c r="I44" s="328"/>
      <c r="CA44" s="351"/>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row>
    <row r="45" spans="2:103" s="85" customFormat="1" ht="18" x14ac:dyDescent="0.25">
      <c r="B45" s="273" t="s">
        <v>577</v>
      </c>
      <c r="C45" s="273" t="s">
        <v>506</v>
      </c>
      <c r="D45" s="278">
        <f>Biometano!$D$88*(1-Biometano!$D$89)*1000</f>
        <v>0</v>
      </c>
      <c r="E45" s="259"/>
      <c r="F45" s="278">
        <f>D45*'Dados auxiliares'!$H$78</f>
        <v>0</v>
      </c>
      <c r="G45" s="598"/>
      <c r="H45" s="550" t="e">
        <f t="shared" si="1"/>
        <v>#DIV/0!</v>
      </c>
      <c r="I45" s="328"/>
      <c r="CA45" s="351"/>
      <c r="CB45" s="327"/>
      <c r="CC45" s="327"/>
      <c r="CD45" s="327"/>
      <c r="CE45" s="327"/>
      <c r="CF45" s="327"/>
      <c r="CG45" s="327"/>
      <c r="CH45" s="327"/>
      <c r="CI45" s="327"/>
      <c r="CJ45" s="327"/>
      <c r="CK45" s="327"/>
      <c r="CL45" s="327"/>
      <c r="CM45" s="327"/>
      <c r="CN45" s="327"/>
      <c r="CO45" s="327"/>
      <c r="CP45" s="327"/>
      <c r="CQ45" s="327"/>
      <c r="CR45" s="327"/>
      <c r="CS45" s="327"/>
      <c r="CT45" s="327"/>
      <c r="CU45" s="327"/>
      <c r="CV45" s="327"/>
      <c r="CW45" s="327"/>
      <c r="CX45" s="327"/>
      <c r="CY45" s="327"/>
    </row>
    <row r="46" spans="2:103" s="85" customFormat="1" x14ac:dyDescent="0.25">
      <c r="B46" s="273" t="s">
        <v>578</v>
      </c>
      <c r="C46" s="273" t="s">
        <v>47</v>
      </c>
      <c r="D46" s="278">
        <f>((D45/1000)*Biometano!$D$90)</f>
        <v>0</v>
      </c>
      <c r="E46" s="259"/>
      <c r="F46" s="278">
        <f>D46*'Dados auxiliares'!$H$131</f>
        <v>0</v>
      </c>
      <c r="G46" s="598"/>
      <c r="H46" s="550" t="e">
        <f t="shared" si="1"/>
        <v>#DIV/0!</v>
      </c>
      <c r="I46" s="328"/>
      <c r="CA46" s="351"/>
      <c r="CB46" s="327"/>
      <c r="CC46" s="327"/>
      <c r="CD46" s="327"/>
      <c r="CE46" s="327"/>
      <c r="CF46" s="327"/>
      <c r="CG46" s="327"/>
      <c r="CH46" s="327"/>
      <c r="CI46" s="327"/>
      <c r="CJ46" s="327"/>
      <c r="CK46" s="327"/>
      <c r="CL46" s="327"/>
      <c r="CM46" s="327"/>
      <c r="CN46" s="327"/>
      <c r="CO46" s="327"/>
      <c r="CP46" s="327"/>
      <c r="CQ46" s="327"/>
      <c r="CR46" s="327"/>
      <c r="CS46" s="327"/>
      <c r="CT46" s="327"/>
      <c r="CU46" s="327"/>
      <c r="CV46" s="327"/>
      <c r="CW46" s="327"/>
      <c r="CX46" s="327"/>
      <c r="CY46" s="327"/>
    </row>
    <row r="47" spans="2:103" s="85" customFormat="1" ht="18" x14ac:dyDescent="0.25">
      <c r="B47" s="338" t="s">
        <v>52</v>
      </c>
      <c r="C47" s="387" t="s">
        <v>0</v>
      </c>
      <c r="D47" s="538" t="s">
        <v>723</v>
      </c>
      <c r="E47" s="282"/>
      <c r="F47" s="283" t="s">
        <v>594</v>
      </c>
      <c r="G47" s="272"/>
      <c r="H47" s="283" t="s">
        <v>535</v>
      </c>
    </row>
    <row r="48" spans="2:103" s="85" customFormat="1" x14ac:dyDescent="0.25">
      <c r="B48" s="273" t="s">
        <v>437</v>
      </c>
      <c r="C48" s="273" t="s">
        <v>1</v>
      </c>
      <c r="D48" s="278">
        <f>D32*'FE''s queima combustíveis'!$I$50/1000</f>
        <v>0</v>
      </c>
      <c r="E48" s="259"/>
      <c r="F48" s="238">
        <f t="shared" ref="F48:F58" si="2">D48*1000</f>
        <v>0</v>
      </c>
      <c r="G48" s="590"/>
      <c r="H48" s="550" t="e">
        <f t="shared" si="1"/>
        <v>#DIV/0!</v>
      </c>
    </row>
    <row r="49" spans="2:14" s="85" customFormat="1" x14ac:dyDescent="0.25">
      <c r="B49" s="273" t="s">
        <v>443</v>
      </c>
      <c r="C49" s="273" t="s">
        <v>1</v>
      </c>
      <c r="D49" s="278">
        <f>D33*'FE''s queima combustíveis'!$I$51/1000</f>
        <v>0</v>
      </c>
      <c r="E49" s="259"/>
      <c r="F49" s="238">
        <f t="shared" si="2"/>
        <v>0</v>
      </c>
      <c r="G49" s="590"/>
      <c r="H49" s="550" t="e">
        <f t="shared" si="1"/>
        <v>#DIV/0!</v>
      </c>
    </row>
    <row r="50" spans="2:14" s="85" customFormat="1" x14ac:dyDescent="0.25">
      <c r="B50" s="273" t="s">
        <v>848</v>
      </c>
      <c r="C50" s="273" t="s">
        <v>1</v>
      </c>
      <c r="D50" s="278">
        <f>D34*'FE''s queima combustíveis'!$I$53/1000</f>
        <v>0</v>
      </c>
      <c r="E50" s="259"/>
      <c r="F50" s="238">
        <f>D50*1000</f>
        <v>0</v>
      </c>
      <c r="G50" s="590"/>
      <c r="H50" s="550" t="e">
        <f t="shared" si="1"/>
        <v>#DIV/0!</v>
      </c>
    </row>
    <row r="51" spans="2:14" s="85" customFormat="1" x14ac:dyDescent="0.25">
      <c r="B51" s="273" t="s">
        <v>926</v>
      </c>
      <c r="C51" s="273" t="s">
        <v>1</v>
      </c>
      <c r="D51" s="278">
        <f>Biometano!D68*Biometano!G68*'FE''s queima combustíveis'!$I$41/1000</f>
        <v>0</v>
      </c>
      <c r="E51" s="259"/>
      <c r="F51" s="238">
        <f t="shared" si="2"/>
        <v>0</v>
      </c>
      <c r="G51" s="590"/>
      <c r="H51" s="550" t="e">
        <f t="shared" si="1"/>
        <v>#DIV/0!</v>
      </c>
    </row>
    <row r="52" spans="2:14" s="85" customFormat="1" x14ac:dyDescent="0.25">
      <c r="B52" s="273" t="s">
        <v>925</v>
      </c>
      <c r="C52" s="273" t="s">
        <v>1</v>
      </c>
      <c r="D52" s="278">
        <f>Biometano!D69*Biometano!G69*'FE''s queima combustíveis'!$I$41/1000</f>
        <v>0</v>
      </c>
      <c r="E52" s="259"/>
      <c r="F52" s="238">
        <f t="shared" si="2"/>
        <v>0</v>
      </c>
      <c r="G52" s="590"/>
      <c r="H52" s="550" t="e">
        <f t="shared" si="1"/>
        <v>#DIV/0!</v>
      </c>
    </row>
    <row r="53" spans="2:14" s="85" customFormat="1" x14ac:dyDescent="0.25">
      <c r="B53" s="273" t="s">
        <v>581</v>
      </c>
      <c r="C53" s="273" t="s">
        <v>1</v>
      </c>
      <c r="D53" s="278">
        <f>D36*'FE''s queima combustíveis'!$I$46*('Dados auxiliares'!$D$27/1000)/1000</f>
        <v>0</v>
      </c>
      <c r="E53" s="259"/>
      <c r="F53" s="238">
        <f t="shared" si="2"/>
        <v>0</v>
      </c>
      <c r="G53" s="590"/>
      <c r="H53" s="550" t="e">
        <f t="shared" si="1"/>
        <v>#DIV/0!</v>
      </c>
    </row>
    <row r="54" spans="2:14" s="85" customFormat="1" x14ac:dyDescent="0.25">
      <c r="B54" s="273" t="s">
        <v>582</v>
      </c>
      <c r="C54" s="273" t="s">
        <v>1</v>
      </c>
      <c r="D54" s="278">
        <f>D43*'FE''s queima combustíveis'!$I$36/1000</f>
        <v>0</v>
      </c>
      <c r="E54" s="259"/>
      <c r="F54" s="238">
        <f t="shared" si="2"/>
        <v>0</v>
      </c>
      <c r="G54" s="590"/>
      <c r="H54" s="550" t="e">
        <f t="shared" si="1"/>
        <v>#DIV/0!</v>
      </c>
    </row>
    <row r="55" spans="2:14" s="85" customFormat="1" x14ac:dyDescent="0.25">
      <c r="B55" s="273" t="s">
        <v>583</v>
      </c>
      <c r="C55" s="273" t="s">
        <v>1</v>
      </c>
      <c r="D55" s="278">
        <f>D45*'FE''s queima combustíveis'!$I$37/1000</f>
        <v>0</v>
      </c>
      <c r="E55" s="259"/>
      <c r="F55" s="238">
        <f t="shared" si="2"/>
        <v>0</v>
      </c>
      <c r="G55" s="590"/>
      <c r="H55" s="550" t="e">
        <f t="shared" si="1"/>
        <v>#DIV/0!</v>
      </c>
    </row>
    <row r="56" spans="2:14" s="85" customFormat="1" x14ac:dyDescent="0.25">
      <c r="B56" s="273" t="s">
        <v>520</v>
      </c>
      <c r="C56" s="273" t="s">
        <v>1</v>
      </c>
      <c r="D56" s="278">
        <f>D37*'FE''s queima combustíveis'!$I$38/1000</f>
        <v>0</v>
      </c>
      <c r="E56" s="259"/>
      <c r="F56" s="238">
        <f t="shared" si="2"/>
        <v>0</v>
      </c>
      <c r="G56" s="590"/>
      <c r="H56" s="550" t="e">
        <f t="shared" si="1"/>
        <v>#DIV/0!</v>
      </c>
    </row>
    <row r="57" spans="2:14" s="85" customFormat="1" x14ac:dyDescent="0.25">
      <c r="B57" s="273" t="s">
        <v>518</v>
      </c>
      <c r="C57" s="273" t="s">
        <v>1</v>
      </c>
      <c r="D57" s="278">
        <f>D39*'FE''s queima combustíveis'!$I$39/1000</f>
        <v>0</v>
      </c>
      <c r="E57" s="259"/>
      <c r="F57" s="238">
        <f t="shared" si="2"/>
        <v>0</v>
      </c>
      <c r="G57" s="590"/>
      <c r="H57" s="550" t="e">
        <f t="shared" si="1"/>
        <v>#DIV/0!</v>
      </c>
    </row>
    <row r="58" spans="2:14" s="85" customFormat="1" x14ac:dyDescent="0.25">
      <c r="B58" s="273" t="s">
        <v>519</v>
      </c>
      <c r="C58" s="273" t="s">
        <v>1</v>
      </c>
      <c r="D58" s="278">
        <f>D41*'FE''s queima combustíveis'!$I$40/1000</f>
        <v>0</v>
      </c>
      <c r="E58" s="259"/>
      <c r="F58" s="238">
        <f t="shared" si="2"/>
        <v>0</v>
      </c>
      <c r="G58" s="590"/>
      <c r="H58" s="550" t="e">
        <f t="shared" si="1"/>
        <v>#DIV/0!</v>
      </c>
      <c r="I58" s="342"/>
      <c r="J58" s="342"/>
    </row>
    <row r="59" spans="2:14" s="85" customFormat="1" x14ac:dyDescent="0.25">
      <c r="B59" s="315"/>
      <c r="C59" s="315"/>
      <c r="D59" s="315"/>
      <c r="E59" s="315"/>
      <c r="F59" s="315"/>
      <c r="H59" s="315"/>
    </row>
    <row r="60" spans="2:14" s="85" customFormat="1" ht="18" x14ac:dyDescent="0.25">
      <c r="B60" s="276" t="s">
        <v>54</v>
      </c>
      <c r="C60" s="611" t="s">
        <v>891</v>
      </c>
      <c r="D60" s="274"/>
      <c r="E60" s="275"/>
      <c r="F60" s="290">
        <f>SUM(F48:F58)</f>
        <v>0</v>
      </c>
      <c r="G60" s="597"/>
      <c r="H60" s="290" t="e">
        <f t="shared" si="1"/>
        <v>#DIV/0!</v>
      </c>
      <c r="J60" s="88"/>
      <c r="L60" s="343"/>
      <c r="M60" s="343"/>
      <c r="N60" s="343"/>
    </row>
    <row r="61" spans="2:14" s="85" customFormat="1" ht="18" x14ac:dyDescent="0.25">
      <c r="B61" s="276" t="s">
        <v>61</v>
      </c>
      <c r="C61" s="611" t="s">
        <v>891</v>
      </c>
      <c r="D61" s="274"/>
      <c r="E61" s="275"/>
      <c r="F61" s="290">
        <f>SUM(F16:F46)</f>
        <v>0</v>
      </c>
      <c r="G61" s="597"/>
      <c r="H61" s="290" t="e">
        <f t="shared" si="1"/>
        <v>#DIV/0!</v>
      </c>
      <c r="J61" s="88"/>
      <c r="L61" s="321"/>
      <c r="M61" s="321"/>
      <c r="N61" s="321"/>
    </row>
    <row r="62" spans="2:14" s="85" customFormat="1" ht="18" x14ac:dyDescent="0.25">
      <c r="B62" s="276" t="s">
        <v>55</v>
      </c>
      <c r="C62" s="611" t="s">
        <v>891</v>
      </c>
      <c r="D62" s="274"/>
      <c r="E62" s="275"/>
      <c r="F62" s="290">
        <f>F61+F60</f>
        <v>0</v>
      </c>
      <c r="G62" s="597"/>
      <c r="H62" s="290" t="e">
        <f t="shared" si="1"/>
        <v>#DIV/0!</v>
      </c>
      <c r="J62" s="88"/>
      <c r="K62" s="321"/>
      <c r="L62" s="321"/>
      <c r="M62" s="321"/>
      <c r="N62" s="321"/>
    </row>
    <row r="63" spans="2:14" s="85" customFormat="1" x14ac:dyDescent="0.25">
      <c r="D63" s="330"/>
      <c r="J63" s="88"/>
      <c r="K63" s="322"/>
      <c r="L63" s="326"/>
      <c r="M63" s="331"/>
    </row>
    <row r="64" spans="2:14" s="85" customFormat="1" ht="18" x14ac:dyDescent="0.25">
      <c r="B64" s="276" t="s">
        <v>55</v>
      </c>
      <c r="C64" s="611" t="s">
        <v>891</v>
      </c>
      <c r="D64" s="330"/>
      <c r="J64" s="88"/>
      <c r="K64" s="332"/>
      <c r="L64" s="333"/>
      <c r="M64" s="331"/>
    </row>
    <row r="65" spans="2:14" s="85" customFormat="1" ht="15" customHeight="1" x14ac:dyDescent="0.25">
      <c r="J65" s="88"/>
      <c r="K65" s="332"/>
      <c r="L65" s="333"/>
      <c r="M65" s="333"/>
      <c r="N65" s="333"/>
    </row>
    <row r="66" spans="2:14" s="85" customFormat="1" ht="15" customHeight="1" x14ac:dyDescent="0.25">
      <c r="B66" s="737" t="s">
        <v>524</v>
      </c>
      <c r="C66" s="737"/>
      <c r="D66" s="737"/>
      <c r="E66" s="737"/>
      <c r="F66" s="737"/>
      <c r="G66" s="453"/>
      <c r="J66" s="88"/>
      <c r="K66" s="332"/>
      <c r="L66" s="333"/>
      <c r="M66" s="333"/>
      <c r="N66" s="333"/>
    </row>
    <row r="67" spans="2:14" s="85" customFormat="1" ht="15" customHeight="1" x14ac:dyDescent="0.25">
      <c r="B67" s="573" t="s">
        <v>904</v>
      </c>
      <c r="C67" s="387"/>
      <c r="D67" s="387"/>
      <c r="E67" s="387"/>
      <c r="F67" s="387"/>
      <c r="G67" s="583"/>
      <c r="J67" s="88"/>
      <c r="K67" s="332"/>
      <c r="L67" s="333"/>
      <c r="M67" s="333"/>
      <c r="N67" s="333"/>
    </row>
    <row r="68" spans="2:14" s="85" customFormat="1" ht="15" customHeight="1" x14ac:dyDescent="0.25">
      <c r="B68" s="300" t="s">
        <v>529</v>
      </c>
      <c r="C68" s="300" t="s">
        <v>0</v>
      </c>
      <c r="D68" s="300" t="s">
        <v>262</v>
      </c>
      <c r="E68" s="300"/>
      <c r="F68" s="300"/>
      <c r="G68" s="600"/>
      <c r="J68" s="88"/>
      <c r="K68" s="332"/>
      <c r="L68" s="333"/>
      <c r="M68" s="333"/>
      <c r="N68" s="333"/>
    </row>
    <row r="69" spans="2:14" s="85" customFormat="1" ht="15" customHeight="1" x14ac:dyDescent="0.25">
      <c r="B69" s="273" t="s">
        <v>525</v>
      </c>
      <c r="C69" s="274" t="s">
        <v>138</v>
      </c>
      <c r="D69" s="278">
        <f>$D$12*'Dados auxiliares'!D18*Biometano!$D$95</f>
        <v>0</v>
      </c>
      <c r="E69" s="278"/>
      <c r="F69" s="278"/>
      <c r="G69" s="598"/>
      <c r="J69" s="88"/>
      <c r="K69" s="332"/>
      <c r="L69" s="333"/>
      <c r="M69" s="333"/>
      <c r="N69" s="333"/>
    </row>
    <row r="70" spans="2:14" s="85" customFormat="1" ht="15" customHeight="1" x14ac:dyDescent="0.25">
      <c r="B70" s="273" t="s">
        <v>531</v>
      </c>
      <c r="C70" s="273" t="s">
        <v>258</v>
      </c>
      <c r="D70" s="278">
        <f>'Dados auxiliares'!C161</f>
        <v>43</v>
      </c>
      <c r="E70" s="277"/>
      <c r="F70" s="277"/>
      <c r="G70" s="544"/>
      <c r="J70" s="88"/>
      <c r="K70" s="332"/>
      <c r="L70" s="333"/>
      <c r="M70" s="333"/>
      <c r="N70" s="333"/>
    </row>
    <row r="71" spans="2:14" s="85" customFormat="1" ht="15" customHeight="1" x14ac:dyDescent="0.25">
      <c r="B71" s="273" t="s">
        <v>528</v>
      </c>
      <c r="C71" s="274" t="s">
        <v>47</v>
      </c>
      <c r="D71" s="278">
        <f>D69*D70</f>
        <v>0</v>
      </c>
      <c r="E71" s="278"/>
      <c r="F71" s="278"/>
      <c r="G71" s="598"/>
      <c r="J71" s="88"/>
      <c r="K71" s="332"/>
      <c r="L71" s="333"/>
      <c r="M71" s="333"/>
      <c r="N71" s="333"/>
    </row>
    <row r="72" spans="2:14" s="85" customFormat="1" ht="15" customHeight="1" x14ac:dyDescent="0.25">
      <c r="B72" s="273" t="s">
        <v>52</v>
      </c>
      <c r="C72" s="274" t="s">
        <v>724</v>
      </c>
      <c r="D72" s="278">
        <f>D71*'Dados auxiliares'!$H$132</f>
        <v>0</v>
      </c>
      <c r="E72" s="278"/>
      <c r="F72" s="278"/>
      <c r="G72" s="598"/>
      <c r="J72" s="88"/>
      <c r="K72" s="332"/>
      <c r="L72" s="333"/>
      <c r="M72" s="333"/>
      <c r="N72" s="333"/>
    </row>
    <row r="73" spans="2:14" s="85" customFormat="1" ht="15" customHeight="1" x14ac:dyDescent="0.25">
      <c r="B73" s="302" t="s">
        <v>52</v>
      </c>
      <c r="C73" s="303" t="s">
        <v>530</v>
      </c>
      <c r="D73" s="304" t="e">
        <f>D72/E12</f>
        <v>#DIV/0!</v>
      </c>
      <c r="E73" s="304"/>
      <c r="F73" s="304"/>
      <c r="G73" s="601"/>
      <c r="J73" s="88"/>
      <c r="K73" s="332"/>
      <c r="L73" s="333"/>
      <c r="M73" s="333"/>
      <c r="N73" s="333"/>
    </row>
    <row r="74" spans="2:14" s="85" customFormat="1" ht="15" customHeight="1" x14ac:dyDescent="0.25">
      <c r="B74" s="573" t="s">
        <v>905</v>
      </c>
      <c r="C74" s="387"/>
      <c r="D74" s="387"/>
      <c r="E74" s="387"/>
      <c r="F74" s="387"/>
      <c r="G74" s="583"/>
      <c r="J74" s="88"/>
      <c r="K74" s="332"/>
      <c r="L74" s="333"/>
      <c r="M74" s="333"/>
      <c r="N74" s="333"/>
    </row>
    <row r="75" spans="2:14" s="85" customFormat="1" ht="15" customHeight="1" x14ac:dyDescent="0.25">
      <c r="B75" s="300" t="s">
        <v>529</v>
      </c>
      <c r="C75" s="300" t="s">
        <v>0</v>
      </c>
      <c r="D75" s="300" t="s">
        <v>262</v>
      </c>
      <c r="E75" s="300"/>
      <c r="F75" s="300"/>
      <c r="G75" s="600"/>
      <c r="J75" s="88"/>
      <c r="K75" s="332"/>
      <c r="L75" s="333"/>
      <c r="M75" s="333"/>
      <c r="N75" s="333"/>
    </row>
    <row r="76" spans="2:14" s="85" customFormat="1" ht="15" customHeight="1" x14ac:dyDescent="0.25">
      <c r="B76" s="273" t="s">
        <v>525</v>
      </c>
      <c r="C76" s="274" t="s">
        <v>138</v>
      </c>
      <c r="D76" s="278">
        <f>$D$12*'Dados auxiliares'!D27*Biometano!$D$96</f>
        <v>0</v>
      </c>
      <c r="E76" s="278"/>
      <c r="F76" s="301"/>
      <c r="G76" s="601"/>
      <c r="J76" s="88"/>
      <c r="K76" s="332"/>
      <c r="L76" s="333"/>
      <c r="M76" s="333"/>
      <c r="N76" s="333"/>
    </row>
    <row r="77" spans="2:14" s="85" customFormat="1" ht="15" customHeight="1" x14ac:dyDescent="0.25">
      <c r="B77" s="273" t="s">
        <v>532</v>
      </c>
      <c r="C77" s="273" t="s">
        <v>258</v>
      </c>
      <c r="D77" s="278">
        <f>'Dados auxiliares'!D161</f>
        <v>24</v>
      </c>
      <c r="E77" s="277"/>
      <c r="F77" s="301"/>
      <c r="G77" s="601"/>
      <c r="J77" s="88"/>
      <c r="K77" s="332"/>
      <c r="L77" s="333"/>
      <c r="M77" s="333"/>
      <c r="N77" s="333"/>
    </row>
    <row r="78" spans="2:14" s="85" customFormat="1" ht="15" customHeight="1" x14ac:dyDescent="0.25">
      <c r="B78" s="273" t="s">
        <v>533</v>
      </c>
      <c r="C78" s="274" t="s">
        <v>597</v>
      </c>
      <c r="D78" s="278">
        <f>D76*D77</f>
        <v>0</v>
      </c>
      <c r="E78" s="278"/>
      <c r="F78" s="301"/>
      <c r="G78" s="601"/>
      <c r="J78" s="88"/>
      <c r="K78" s="332"/>
      <c r="L78" s="333"/>
      <c r="M78" s="333"/>
      <c r="N78" s="333"/>
    </row>
    <row r="79" spans="2:14" s="85" customFormat="1" ht="15" customHeight="1" x14ac:dyDescent="0.25">
      <c r="B79" s="273" t="s">
        <v>52</v>
      </c>
      <c r="C79" s="274" t="s">
        <v>598</v>
      </c>
      <c r="D79" s="278">
        <f>D78*'Dados auxiliares'!$H$136</f>
        <v>0</v>
      </c>
      <c r="E79" s="278"/>
      <c r="F79" s="301"/>
      <c r="G79" s="601"/>
      <c r="J79" s="88"/>
      <c r="K79" s="332"/>
      <c r="L79" s="333"/>
      <c r="M79" s="333"/>
      <c r="N79" s="333"/>
    </row>
    <row r="80" spans="2:14" s="85" customFormat="1" ht="15" customHeight="1" x14ac:dyDescent="0.25">
      <c r="B80" s="302" t="s">
        <v>52</v>
      </c>
      <c r="C80" s="303" t="s">
        <v>530</v>
      </c>
      <c r="D80" s="304" t="e">
        <f>D79/E12</f>
        <v>#DIV/0!</v>
      </c>
      <c r="E80" s="304"/>
      <c r="F80" s="304"/>
      <c r="G80" s="601"/>
      <c r="J80" s="88"/>
      <c r="K80" s="332"/>
      <c r="L80" s="333"/>
      <c r="M80" s="333"/>
      <c r="N80" s="333"/>
    </row>
    <row r="81" spans="2:8" s="85" customFormat="1" x14ac:dyDescent="0.25">
      <c r="B81" s="71"/>
      <c r="C81" s="71"/>
      <c r="D81" s="71"/>
      <c r="E81" s="71"/>
      <c r="F81" s="71"/>
      <c r="G81" s="71"/>
      <c r="H81" s="333"/>
    </row>
    <row r="82" spans="2:8" s="85" customFormat="1" ht="18" x14ac:dyDescent="0.25">
      <c r="B82" s="279" t="s">
        <v>55</v>
      </c>
      <c r="C82" s="279" t="s">
        <v>535</v>
      </c>
      <c r="D82" s="305" t="e">
        <f>D73+D80</f>
        <v>#DIV/0!</v>
      </c>
      <c r="E82" s="305"/>
      <c r="F82" s="305"/>
      <c r="G82" s="602"/>
      <c r="H82" s="333"/>
    </row>
  </sheetData>
  <mergeCells count="6">
    <mergeCell ref="H10:H13"/>
    <mergeCell ref="B10:F10"/>
    <mergeCell ref="B66:F66"/>
    <mergeCell ref="B2:F2"/>
    <mergeCell ref="C3:D3"/>
    <mergeCell ref="C4:D4"/>
  </mergeCells>
  <pageMargins left="0.511811024" right="0.511811024" top="0.78740157499999996" bottom="0.78740157499999996" header="0.31496062000000002" footer="0.31496062000000002"/>
  <pageSetup paperSize="9" orientation="portrait"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Plan33">
    <tabColor rgb="FFB2B2B2"/>
  </sheetPr>
  <dimension ref="A1:BA229"/>
  <sheetViews>
    <sheetView showGridLines="0" workbookViewId="0">
      <selection activeCell="D15" sqref="D15"/>
    </sheetView>
  </sheetViews>
  <sheetFormatPr defaultColWidth="9.140625" defaultRowHeight="15" x14ac:dyDescent="0.25"/>
  <cols>
    <col min="1" max="1" width="4.28515625" style="70" customWidth="1"/>
    <col min="2" max="2" width="50.28515625" style="70" customWidth="1"/>
    <col min="3" max="3" width="13.42578125" style="72" customWidth="1"/>
    <col min="4" max="8" width="16" style="70" customWidth="1"/>
    <col min="9" max="9" width="17.5703125" style="297" customWidth="1"/>
    <col min="10" max="10" width="17.42578125" style="70" customWidth="1"/>
    <col min="11" max="11" width="13" style="70" customWidth="1"/>
    <col min="12" max="12" width="15.7109375" style="70" customWidth="1"/>
    <col min="13" max="13" width="43.42578125" style="70" customWidth="1"/>
    <col min="14" max="14" width="17.5703125" style="70" customWidth="1"/>
    <col min="15" max="15" width="16.28515625" style="70" customWidth="1"/>
    <col min="16" max="16384" width="9.140625" style="70"/>
  </cols>
  <sheetData>
    <row r="1" spans="1:53" s="159" customFormat="1" x14ac:dyDescent="0.25">
      <c r="D1" s="70"/>
      <c r="E1" s="70"/>
      <c r="F1" s="70"/>
      <c r="G1" s="70"/>
      <c r="H1" s="70"/>
      <c r="I1" s="297"/>
      <c r="J1" s="70"/>
      <c r="K1" s="70"/>
      <c r="L1" s="70"/>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row>
    <row r="2" spans="1:53" s="159" customFormat="1" x14ac:dyDescent="0.25">
      <c r="D2" s="70"/>
      <c r="E2" s="70"/>
      <c r="F2" s="70"/>
      <c r="G2" s="70"/>
      <c r="H2" s="70"/>
      <c r="I2" s="297"/>
      <c r="J2" s="70"/>
      <c r="K2" s="70"/>
      <c r="L2" s="70"/>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row>
    <row r="3" spans="1:53" s="159" customFormat="1" x14ac:dyDescent="0.25">
      <c r="B3" s="425" t="s">
        <v>766</v>
      </c>
      <c r="D3" s="70"/>
      <c r="E3" s="70"/>
      <c r="F3" s="70"/>
      <c r="G3" s="70"/>
      <c r="H3" s="70"/>
      <c r="I3" s="297"/>
      <c r="J3" s="70"/>
      <c r="K3" s="70"/>
      <c r="L3" s="70"/>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row>
    <row r="4" spans="1:53" s="161" customFormat="1" ht="15" customHeight="1" x14ac:dyDescent="0.25">
      <c r="A4" s="159"/>
      <c r="B4" s="757" t="s">
        <v>6</v>
      </c>
      <c r="C4" s="424"/>
      <c r="D4" s="424" t="s">
        <v>4</v>
      </c>
      <c r="E4" s="756" t="s">
        <v>477</v>
      </c>
      <c r="F4" s="70"/>
      <c r="G4" s="70"/>
      <c r="H4" s="70"/>
      <c r="I4" s="297"/>
      <c r="J4" s="70"/>
      <c r="K4" s="70"/>
      <c r="L4" s="7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row>
    <row r="5" spans="1:53" s="159" customFormat="1" ht="18" x14ac:dyDescent="0.25">
      <c r="B5" s="757"/>
      <c r="C5" s="426"/>
      <c r="D5" s="426" t="s">
        <v>651</v>
      </c>
      <c r="E5" s="756"/>
      <c r="I5" s="169"/>
    </row>
    <row r="6" spans="1:53" s="159" customFormat="1" ht="18" x14ac:dyDescent="0.25">
      <c r="B6" s="405" t="s">
        <v>762</v>
      </c>
      <c r="C6" s="405"/>
      <c r="D6" s="173">
        <v>1</v>
      </c>
      <c r="E6" s="70" t="s">
        <v>209</v>
      </c>
      <c r="I6" s="169"/>
    </row>
    <row r="7" spans="1:53" s="159" customFormat="1" ht="18" x14ac:dyDescent="0.25">
      <c r="B7" s="405" t="s">
        <v>763</v>
      </c>
      <c r="C7" s="405"/>
      <c r="D7" s="173">
        <v>30</v>
      </c>
      <c r="E7" s="70" t="s">
        <v>209</v>
      </c>
      <c r="I7" s="169"/>
      <c r="L7" s="70"/>
    </row>
    <row r="8" spans="1:53" s="159" customFormat="1" ht="18" x14ac:dyDescent="0.25">
      <c r="B8" s="405" t="s">
        <v>764</v>
      </c>
      <c r="C8" s="405"/>
      <c r="D8" s="173">
        <v>28</v>
      </c>
      <c r="E8" s="70" t="s">
        <v>209</v>
      </c>
      <c r="I8" s="169"/>
      <c r="L8" s="70"/>
    </row>
    <row r="9" spans="1:53" s="159" customFormat="1" ht="18" x14ac:dyDescent="0.25">
      <c r="B9" s="405" t="s">
        <v>765</v>
      </c>
      <c r="C9" s="405"/>
      <c r="D9" s="173">
        <v>265</v>
      </c>
      <c r="E9" s="70" t="s">
        <v>209</v>
      </c>
      <c r="I9" s="169"/>
      <c r="L9" s="70"/>
    </row>
    <row r="10" spans="1:53" s="159" customFormat="1" x14ac:dyDescent="0.25">
      <c r="B10" s="12"/>
      <c r="D10" s="164"/>
      <c r="I10" s="169"/>
      <c r="L10" s="163"/>
    </row>
    <row r="11" spans="1:53" s="159" customFormat="1" x14ac:dyDescent="0.25">
      <c r="B11" s="12"/>
      <c r="D11" s="164"/>
      <c r="I11" s="169"/>
      <c r="L11" s="163"/>
    </row>
    <row r="12" spans="1:53" s="159" customFormat="1" x14ac:dyDescent="0.25">
      <c r="B12" s="425" t="s">
        <v>767</v>
      </c>
      <c r="D12" s="164"/>
      <c r="I12" s="169"/>
      <c r="L12" s="163"/>
    </row>
    <row r="13" spans="1:53" ht="30" x14ac:dyDescent="0.25">
      <c r="B13" s="756" t="s">
        <v>252</v>
      </c>
      <c r="C13" s="401"/>
      <c r="D13" s="401" t="s">
        <v>660</v>
      </c>
      <c r="E13" s="758" t="s">
        <v>320</v>
      </c>
      <c r="F13" s="758"/>
      <c r="G13" s="756" t="s">
        <v>477</v>
      </c>
    </row>
    <row r="14" spans="1:53" x14ac:dyDescent="0.25">
      <c r="B14" s="756"/>
      <c r="C14" s="221"/>
      <c r="D14" s="221" t="s">
        <v>487</v>
      </c>
      <c r="E14" s="221" t="s">
        <v>488</v>
      </c>
      <c r="F14" s="221" t="s">
        <v>490</v>
      </c>
      <c r="G14" s="756"/>
    </row>
    <row r="15" spans="1:53" x14ac:dyDescent="0.25">
      <c r="B15" s="405" t="s">
        <v>45</v>
      </c>
      <c r="C15" s="388"/>
      <c r="D15" s="172">
        <f>0.791</f>
        <v>0.79100000000000004</v>
      </c>
      <c r="E15" s="217">
        <v>6750</v>
      </c>
      <c r="F15" s="218">
        <f>CONVERT(E15,"kcal","MJ")</f>
        <v>28.260900000000003</v>
      </c>
      <c r="G15" s="70" t="s">
        <v>275</v>
      </c>
    </row>
    <row r="16" spans="1:53" x14ac:dyDescent="0.25">
      <c r="B16" s="405" t="s">
        <v>46</v>
      </c>
      <c r="C16" s="388"/>
      <c r="D16" s="172">
        <f>0.809</f>
        <v>0.80900000000000005</v>
      </c>
      <c r="E16" s="217">
        <v>6300</v>
      </c>
      <c r="F16" s="218">
        <f>CONVERT(E16,"kcal","MJ")</f>
        <v>26.376840000000001</v>
      </c>
      <c r="G16" s="70" t="s">
        <v>275</v>
      </c>
    </row>
    <row r="17" spans="2:7" x14ac:dyDescent="0.25">
      <c r="B17" s="405" t="s">
        <v>426</v>
      </c>
      <c r="C17" s="388"/>
      <c r="D17" s="172">
        <f>0.88</f>
        <v>0.88</v>
      </c>
      <c r="E17" s="217">
        <v>9000</v>
      </c>
      <c r="F17" s="218">
        <f>CONVERT(E17,"kcal","MJ")</f>
        <v>37.681199999999997</v>
      </c>
      <c r="G17" s="70" t="s">
        <v>275</v>
      </c>
    </row>
    <row r="18" spans="2:7" x14ac:dyDescent="0.25">
      <c r="B18" s="405" t="s">
        <v>667</v>
      </c>
      <c r="C18" s="388"/>
      <c r="D18" s="216">
        <v>7.5760542052289489E-4</v>
      </c>
      <c r="E18" s="403">
        <f>CONVERT(F18,"MJ","kcal")</f>
        <v>11524.314512276678</v>
      </c>
      <c r="F18" s="628">
        <v>48.25</v>
      </c>
      <c r="G18" s="70" t="s">
        <v>316</v>
      </c>
    </row>
    <row r="19" spans="2:7" x14ac:dyDescent="0.25">
      <c r="B19" s="405" t="s">
        <v>855</v>
      </c>
      <c r="C19" s="388"/>
      <c r="D19" s="216">
        <v>8.0000000000000004E-4</v>
      </c>
      <c r="E19" s="403">
        <f>CONVERT(F19,"MJ","kcal")</f>
        <v>10848.380624820866</v>
      </c>
      <c r="F19" s="404">
        <v>45.42</v>
      </c>
      <c r="G19" s="70" t="s">
        <v>844</v>
      </c>
    </row>
    <row r="20" spans="2:7" x14ac:dyDescent="0.25">
      <c r="B20" s="405" t="s">
        <v>486</v>
      </c>
      <c r="C20" s="388"/>
      <c r="D20" s="216">
        <v>0.73499999999999999</v>
      </c>
      <c r="E20" s="403">
        <v>10400</v>
      </c>
      <c r="F20" s="404">
        <f>CONVERT(E20,"kcal","MJ")</f>
        <v>43.542720000000003</v>
      </c>
      <c r="G20" s="70" t="s">
        <v>318</v>
      </c>
    </row>
    <row r="21" spans="2:7" x14ac:dyDescent="0.25">
      <c r="B21" s="405" t="s">
        <v>839</v>
      </c>
      <c r="C21" s="388"/>
      <c r="D21" s="216">
        <v>0.78200000000000003</v>
      </c>
      <c r="E21" s="403">
        <f>CONVERT(F21,"MJ","kcal")</f>
        <v>10504.442533677271</v>
      </c>
      <c r="F21" s="404">
        <v>43.98</v>
      </c>
      <c r="G21" s="70" t="s">
        <v>844</v>
      </c>
    </row>
    <row r="22" spans="2:7" x14ac:dyDescent="0.25">
      <c r="B22" s="405" t="s">
        <v>856</v>
      </c>
      <c r="C22" s="388"/>
      <c r="D22" s="216">
        <v>0.69</v>
      </c>
      <c r="E22" s="403">
        <f>CONVERT(F22,"MJ","kcal")</f>
        <v>10733.734594439667</v>
      </c>
      <c r="F22" s="404">
        <v>44.94</v>
      </c>
      <c r="G22" s="70" t="s">
        <v>844</v>
      </c>
    </row>
    <row r="23" spans="2:7" x14ac:dyDescent="0.25">
      <c r="B23" s="405" t="s">
        <v>840</v>
      </c>
      <c r="C23" s="388"/>
      <c r="D23" s="216">
        <f>0.55</f>
        <v>0.55000000000000004</v>
      </c>
      <c r="E23" s="403">
        <f>CONVERT(F23,"MJ","kcal")</f>
        <v>11130.218782841312</v>
      </c>
      <c r="F23" s="404">
        <v>46.6</v>
      </c>
      <c r="G23" s="70" t="s">
        <v>844</v>
      </c>
    </row>
    <row r="24" spans="2:7" x14ac:dyDescent="0.25">
      <c r="B24" s="405" t="s">
        <v>188</v>
      </c>
      <c r="C24" s="388"/>
      <c r="D24" s="172">
        <v>0.74199999999999999</v>
      </c>
      <c r="E24" s="217">
        <v>10400</v>
      </c>
      <c r="F24" s="218">
        <f t="shared" ref="F24:F29" si="0">CONVERT(E24,"kcal","MJ")</f>
        <v>43.542720000000003</v>
      </c>
      <c r="G24" s="70" t="s">
        <v>275</v>
      </c>
    </row>
    <row r="25" spans="2:7" x14ac:dyDescent="0.25">
      <c r="B25" s="405" t="s">
        <v>467</v>
      </c>
      <c r="C25" s="388"/>
      <c r="D25" s="172">
        <v>0.75424999999999998</v>
      </c>
      <c r="E25" s="217">
        <v>9400</v>
      </c>
      <c r="F25" s="218">
        <f t="shared" si="0"/>
        <v>39.355919999999998</v>
      </c>
      <c r="G25" s="70" t="s">
        <v>275</v>
      </c>
    </row>
    <row r="26" spans="2:7" x14ac:dyDescent="0.25">
      <c r="B26" s="405" t="s">
        <v>967</v>
      </c>
      <c r="C26" s="388"/>
      <c r="D26" s="172">
        <f>0.84</f>
        <v>0.84</v>
      </c>
      <c r="E26" s="217">
        <v>10100</v>
      </c>
      <c r="F26" s="218">
        <f t="shared" si="0"/>
        <v>42.286680000000004</v>
      </c>
      <c r="G26" s="70" t="s">
        <v>275</v>
      </c>
    </row>
    <row r="27" spans="2:7" x14ac:dyDescent="0.25">
      <c r="B27" s="405" t="s">
        <v>489</v>
      </c>
      <c r="C27" s="388"/>
      <c r="D27" s="216">
        <v>7.3999999999999999E-4</v>
      </c>
      <c r="E27" s="217">
        <v>8800</v>
      </c>
      <c r="F27" s="218">
        <f t="shared" si="0"/>
        <v>36.84384</v>
      </c>
      <c r="G27" s="70" t="s">
        <v>275</v>
      </c>
    </row>
    <row r="28" spans="2:7" x14ac:dyDescent="0.25">
      <c r="B28" s="405" t="s">
        <v>274</v>
      </c>
      <c r="C28" s="388"/>
      <c r="D28" s="172">
        <v>0.79900000000000004</v>
      </c>
      <c r="E28" s="217">
        <v>10400</v>
      </c>
      <c r="F28" s="218">
        <f t="shared" si="0"/>
        <v>43.542720000000003</v>
      </c>
      <c r="G28" s="70" t="s">
        <v>275</v>
      </c>
    </row>
    <row r="29" spans="2:7" x14ac:dyDescent="0.25">
      <c r="B29" s="405" t="s">
        <v>95</v>
      </c>
      <c r="C29" s="388"/>
      <c r="D29" s="172">
        <f>0.552</f>
        <v>0.55200000000000005</v>
      </c>
      <c r="E29" s="217">
        <v>11100</v>
      </c>
      <c r="F29" s="218">
        <f t="shared" si="0"/>
        <v>46.473480000000002</v>
      </c>
      <c r="G29" s="70" t="s">
        <v>275</v>
      </c>
    </row>
    <row r="30" spans="2:7" x14ac:dyDescent="0.25">
      <c r="B30" s="405" t="s">
        <v>845</v>
      </c>
      <c r="C30" s="388"/>
      <c r="D30" s="172">
        <v>1.0129999999999999</v>
      </c>
      <c r="E30" s="217">
        <v>9590</v>
      </c>
      <c r="F30" s="218">
        <f t="shared" ref="F30" si="1">CONVERT(E30,"kcal","MJ")</f>
        <v>40.151412000000001</v>
      </c>
      <c r="G30" s="70" t="s">
        <v>275</v>
      </c>
    </row>
    <row r="31" spans="2:7" x14ac:dyDescent="0.25">
      <c r="C31" s="70"/>
    </row>
    <row r="33" spans="1:14" x14ac:dyDescent="0.25">
      <c r="B33" s="425" t="s">
        <v>768</v>
      </c>
    </row>
    <row r="34" spans="1:14" x14ac:dyDescent="0.25">
      <c r="B34" s="756" t="s">
        <v>510</v>
      </c>
      <c r="C34" s="401"/>
      <c r="D34" s="384" t="s">
        <v>320</v>
      </c>
      <c r="E34" s="756" t="s">
        <v>477</v>
      </c>
    </row>
    <row r="35" spans="1:14" s="159" customFormat="1" x14ac:dyDescent="0.25">
      <c r="B35" s="756"/>
      <c r="C35" s="221"/>
      <c r="D35" s="221" t="s">
        <v>490</v>
      </c>
      <c r="E35" s="756"/>
      <c r="I35" s="169"/>
    </row>
    <row r="36" spans="1:14" s="159" customFormat="1" x14ac:dyDescent="0.25">
      <c r="B36" s="405" t="s">
        <v>136</v>
      </c>
      <c r="C36" s="388"/>
      <c r="D36" s="404">
        <v>16.190000000000001</v>
      </c>
      <c r="E36" s="70" t="s">
        <v>674</v>
      </c>
      <c r="I36" s="169"/>
    </row>
    <row r="37" spans="1:14" s="159" customFormat="1" x14ac:dyDescent="0.25">
      <c r="B37" s="405" t="s">
        <v>668</v>
      </c>
      <c r="C37" s="388"/>
      <c r="D37" s="404">
        <v>20.243178</v>
      </c>
      <c r="E37" s="70" t="s">
        <v>675</v>
      </c>
      <c r="I37" s="169"/>
    </row>
    <row r="38" spans="1:14" s="159" customFormat="1" x14ac:dyDescent="0.25">
      <c r="B38" s="405" t="s">
        <v>669</v>
      </c>
      <c r="C38" s="388"/>
      <c r="D38" s="404">
        <v>20.243178</v>
      </c>
      <c r="E38" s="70" t="s">
        <v>676</v>
      </c>
      <c r="I38" s="169"/>
    </row>
    <row r="39" spans="1:14" s="159" customFormat="1" x14ac:dyDescent="0.25">
      <c r="B39" s="405" t="s">
        <v>670</v>
      </c>
      <c r="C39" s="388"/>
      <c r="D39" s="404">
        <v>18.608000000000001</v>
      </c>
      <c r="E39" s="70" t="s">
        <v>677</v>
      </c>
      <c r="I39" s="169"/>
    </row>
    <row r="40" spans="1:14" s="159" customFormat="1" x14ac:dyDescent="0.25">
      <c r="B40" s="405" t="s">
        <v>671</v>
      </c>
      <c r="C40" s="388"/>
      <c r="D40" s="404">
        <v>18.608000000000001</v>
      </c>
      <c r="E40" s="70" t="s">
        <v>677</v>
      </c>
      <c r="I40" s="169"/>
    </row>
    <row r="41" spans="1:14" s="159" customFormat="1" x14ac:dyDescent="0.25">
      <c r="B41" s="405" t="s">
        <v>319</v>
      </c>
      <c r="C41" s="388"/>
      <c r="D41" s="404">
        <v>37.216000000000001</v>
      </c>
      <c r="E41" s="70" t="s">
        <v>676</v>
      </c>
      <c r="I41" s="169"/>
    </row>
    <row r="42" spans="1:14" x14ac:dyDescent="0.25">
      <c r="A42" s="159"/>
      <c r="B42" s="405" t="s">
        <v>672</v>
      </c>
      <c r="C42" s="388"/>
      <c r="D42" s="404">
        <v>34.04</v>
      </c>
      <c r="E42" s="70" t="s">
        <v>678</v>
      </c>
      <c r="F42" s="159"/>
      <c r="G42" s="159"/>
      <c r="H42" s="159"/>
      <c r="I42" s="169"/>
      <c r="L42" s="71"/>
      <c r="N42" s="71"/>
    </row>
    <row r="43" spans="1:14" x14ac:dyDescent="0.25">
      <c r="A43" s="159"/>
      <c r="B43" s="405" t="s">
        <v>673</v>
      </c>
      <c r="C43" s="388"/>
      <c r="D43" s="404">
        <v>15.4</v>
      </c>
      <c r="E43" s="70" t="s">
        <v>678</v>
      </c>
      <c r="F43" s="159"/>
      <c r="G43" s="159"/>
      <c r="H43" s="159"/>
      <c r="I43" s="169"/>
      <c r="L43" s="71"/>
      <c r="N43" s="71"/>
    </row>
    <row r="44" spans="1:14" x14ac:dyDescent="0.25">
      <c r="A44" s="159"/>
      <c r="B44" s="405" t="s">
        <v>589</v>
      </c>
      <c r="C44" s="388"/>
      <c r="D44" s="404">
        <v>16.2</v>
      </c>
      <c r="E44" s="70" t="s">
        <v>678</v>
      </c>
      <c r="F44" s="159"/>
      <c r="G44" s="159"/>
      <c r="H44" s="159"/>
      <c r="I44" s="169"/>
      <c r="L44" s="71"/>
      <c r="N44" s="71"/>
    </row>
    <row r="45" spans="1:14" x14ac:dyDescent="0.25">
      <c r="A45" s="159"/>
      <c r="B45" s="405" t="s">
        <v>590</v>
      </c>
      <c r="C45" s="388"/>
      <c r="D45" s="404">
        <f>CONVERT(3491,"kcal","MJ")</f>
        <v>14.616118800000001</v>
      </c>
      <c r="E45" s="70" t="s">
        <v>831</v>
      </c>
      <c r="F45" s="159"/>
      <c r="G45" s="159"/>
      <c r="H45" s="159"/>
      <c r="I45" s="169"/>
      <c r="L45" s="71"/>
      <c r="N45" s="71"/>
    </row>
    <row r="46" spans="1:14" s="159" customFormat="1" x14ac:dyDescent="0.25">
      <c r="B46" s="12"/>
      <c r="D46" s="164"/>
      <c r="I46" s="169"/>
      <c r="L46" s="163"/>
    </row>
    <row r="47" spans="1:14" s="159" customFormat="1" x14ac:dyDescent="0.25">
      <c r="B47" s="12"/>
      <c r="D47" s="164"/>
      <c r="I47" s="169"/>
      <c r="L47" s="163"/>
    </row>
    <row r="48" spans="1:14" s="159" customFormat="1" x14ac:dyDescent="0.25">
      <c r="B48" s="425" t="s">
        <v>769</v>
      </c>
      <c r="D48" s="164"/>
      <c r="I48" s="169"/>
      <c r="L48" s="163"/>
    </row>
    <row r="49" spans="2:14" s="159" customFormat="1" ht="18.75" customHeight="1" x14ac:dyDescent="0.25">
      <c r="B49" s="757" t="s">
        <v>415</v>
      </c>
      <c r="C49" s="761" t="s">
        <v>31</v>
      </c>
      <c r="D49" s="759" t="s">
        <v>653</v>
      </c>
      <c r="E49" s="759"/>
      <c r="F49" s="759"/>
      <c r="G49" s="759"/>
      <c r="H49" s="760" t="s">
        <v>658</v>
      </c>
      <c r="I49" s="757" t="s">
        <v>94</v>
      </c>
      <c r="J49" s="757" t="s">
        <v>659</v>
      </c>
      <c r="L49" s="163"/>
    </row>
    <row r="50" spans="2:14" s="159" customFormat="1" ht="18.75" x14ac:dyDescent="0.25">
      <c r="B50" s="757"/>
      <c r="C50" s="761"/>
      <c r="D50" s="393" t="s">
        <v>654</v>
      </c>
      <c r="E50" s="393" t="s">
        <v>655</v>
      </c>
      <c r="F50" s="393" t="s">
        <v>657</v>
      </c>
      <c r="G50" s="393" t="s">
        <v>656</v>
      </c>
      <c r="H50" s="761"/>
      <c r="I50" s="757"/>
      <c r="J50" s="757"/>
      <c r="K50" s="163"/>
    </row>
    <row r="51" spans="2:14" s="159" customFormat="1" ht="15.75" x14ac:dyDescent="0.25">
      <c r="B51" s="389" t="s">
        <v>7</v>
      </c>
      <c r="C51" s="389"/>
      <c r="D51" s="389"/>
      <c r="E51" s="389"/>
      <c r="F51" s="389"/>
      <c r="G51" s="389"/>
      <c r="H51" s="389"/>
      <c r="I51" s="391"/>
      <c r="J51" s="389"/>
      <c r="K51" s="163"/>
    </row>
    <row r="52" spans="2:14" s="159" customFormat="1" x14ac:dyDescent="0.25">
      <c r="B52" s="96" t="s">
        <v>164</v>
      </c>
      <c r="C52" s="96" t="s">
        <v>1</v>
      </c>
      <c r="D52" s="170">
        <v>3.4001956956061605E-2</v>
      </c>
      <c r="E52" s="397">
        <v>1.4506696592221881E-6</v>
      </c>
      <c r="F52" s="397">
        <v>1.7868832448844824E-6</v>
      </c>
      <c r="G52" s="397">
        <v>7.9974027747571944E-5</v>
      </c>
      <c r="H52" s="171">
        <f t="shared" ref="H52:H76" si="2">(D52+(E52*$D$9)+(F52*$D$8)+(G52*$D$7))*1000</f>
        <v>36.835637979039404</v>
      </c>
      <c r="I52" s="169" t="s">
        <v>84</v>
      </c>
      <c r="J52" s="71" t="s">
        <v>215</v>
      </c>
      <c r="K52" s="163"/>
      <c r="L52" s="71"/>
      <c r="M52" s="70"/>
    </row>
    <row r="53" spans="2:14" s="159" customFormat="1" x14ac:dyDescent="0.25">
      <c r="B53" s="96" t="s">
        <v>163</v>
      </c>
      <c r="C53" s="96" t="s">
        <v>1</v>
      </c>
      <c r="D53" s="178">
        <v>3.4001956956061605E-2</v>
      </c>
      <c r="E53" s="398">
        <v>1.4506696592221881E-6</v>
      </c>
      <c r="F53" s="398">
        <v>1.7868832448844824E-6</v>
      </c>
      <c r="G53" s="398">
        <v>7.9974027747571944E-5</v>
      </c>
      <c r="H53" s="171">
        <f t="shared" si="2"/>
        <v>36.835637979039404</v>
      </c>
      <c r="I53" s="169" t="s">
        <v>84</v>
      </c>
      <c r="J53" s="71" t="s">
        <v>215</v>
      </c>
      <c r="K53" s="163"/>
      <c r="L53" s="71"/>
      <c r="M53" s="70"/>
    </row>
    <row r="54" spans="2:14" s="159" customFormat="1" x14ac:dyDescent="0.25">
      <c r="B54" s="96" t="s">
        <v>28</v>
      </c>
      <c r="C54" s="96" t="s">
        <v>1</v>
      </c>
      <c r="D54" s="170">
        <v>2.5513589987704206E-3</v>
      </c>
      <c r="E54" s="397">
        <v>6.5994415740673157E-7</v>
      </c>
      <c r="F54" s="397">
        <v>1.1401762135279207E-7</v>
      </c>
      <c r="G54" s="397">
        <v>3.3145878107303334E-6</v>
      </c>
      <c r="H54" s="171">
        <f t="shared" si="2"/>
        <v>2.8288743282029922</v>
      </c>
      <c r="I54" s="169" t="s">
        <v>84</v>
      </c>
      <c r="J54" s="71" t="s">
        <v>216</v>
      </c>
      <c r="K54" s="163"/>
      <c r="L54" s="71"/>
      <c r="M54" s="71"/>
    </row>
    <row r="55" spans="2:14" s="159" customFormat="1" x14ac:dyDescent="0.25">
      <c r="B55" s="96" t="s">
        <v>393</v>
      </c>
      <c r="C55" s="96" t="s">
        <v>1</v>
      </c>
      <c r="D55" s="170">
        <v>2.9972536696840462</v>
      </c>
      <c r="E55" s="397">
        <v>6.4340382247673818E-5</v>
      </c>
      <c r="F55" s="397">
        <v>8.1201794828247067E-5</v>
      </c>
      <c r="G55" s="397">
        <v>6.4878904803137502E-3</v>
      </c>
      <c r="H55" s="171">
        <f t="shared" si="2"/>
        <v>3211.2142356442832</v>
      </c>
      <c r="I55" s="169" t="s">
        <v>84</v>
      </c>
      <c r="J55" s="71" t="s">
        <v>217</v>
      </c>
      <c r="K55" s="163"/>
      <c r="L55" s="71"/>
      <c r="M55" s="71"/>
    </row>
    <row r="56" spans="2:14" s="159" customFormat="1" x14ac:dyDescent="0.25">
      <c r="B56" s="96" t="s">
        <v>394</v>
      </c>
      <c r="C56" s="96" t="s">
        <v>1</v>
      </c>
      <c r="D56" s="170">
        <v>3.0738028152895898</v>
      </c>
      <c r="E56" s="397">
        <v>9.6078515947296982E-5</v>
      </c>
      <c r="F56" s="397">
        <v>2.01624628251585E-4</v>
      </c>
      <c r="G56" s="397">
        <v>5.2532096527840274E-3</v>
      </c>
      <c r="H56" s="171">
        <f t="shared" si="2"/>
        <v>3262.5054011901889</v>
      </c>
      <c r="I56" s="169" t="s">
        <v>84</v>
      </c>
      <c r="J56" s="71" t="s">
        <v>224</v>
      </c>
      <c r="K56" s="163"/>
      <c r="L56" s="71"/>
      <c r="M56" s="71"/>
      <c r="N56" s="71"/>
    </row>
    <row r="57" spans="2:14" s="159" customFormat="1" x14ac:dyDescent="0.25">
      <c r="B57" s="96" t="s">
        <v>395</v>
      </c>
      <c r="C57" s="96" t="s">
        <v>1</v>
      </c>
      <c r="D57" s="170">
        <v>1.5661447680282488</v>
      </c>
      <c r="E57" s="397">
        <v>4.8953323981758722E-5</v>
      </c>
      <c r="F57" s="397">
        <v>1.0273051838542736E-4</v>
      </c>
      <c r="G57" s="397">
        <v>2.6765824965501112E-3</v>
      </c>
      <c r="H57" s="171">
        <f t="shared" si="2"/>
        <v>1662.29132829471</v>
      </c>
      <c r="I57" s="169" t="s">
        <v>84</v>
      </c>
      <c r="J57" s="71" t="s">
        <v>230</v>
      </c>
      <c r="K57" s="163"/>
      <c r="L57" s="71"/>
      <c r="M57" s="71"/>
      <c r="N57" s="71"/>
    </row>
    <row r="58" spans="2:14" s="159" customFormat="1" x14ac:dyDescent="0.25">
      <c r="B58" s="96" t="s">
        <v>396</v>
      </c>
      <c r="C58" s="96" t="s">
        <v>1</v>
      </c>
      <c r="D58" s="170">
        <v>3.1966140989888623</v>
      </c>
      <c r="E58" s="397">
        <v>9.5270908599350679E-5</v>
      </c>
      <c r="F58" s="397">
        <v>1.7106250283347176E-4</v>
      </c>
      <c r="G58" s="397">
        <v>4.7753829262318611E-3</v>
      </c>
      <c r="H58" s="171">
        <f t="shared" si="2"/>
        <v>3369.9121276339833</v>
      </c>
      <c r="I58" s="169" t="s">
        <v>84</v>
      </c>
      <c r="J58" s="71" t="s">
        <v>223</v>
      </c>
      <c r="K58" s="163"/>
      <c r="L58" s="71"/>
    </row>
    <row r="59" spans="2:14" s="159" customFormat="1" x14ac:dyDescent="0.25">
      <c r="B59" s="96" t="s">
        <v>397</v>
      </c>
      <c r="C59" s="96" t="s">
        <v>1</v>
      </c>
      <c r="D59" s="170">
        <v>1.33449</v>
      </c>
      <c r="E59" s="397">
        <v>3.8509173E-5</v>
      </c>
      <c r="F59" s="397">
        <v>3.5445092999999998E-5</v>
      </c>
      <c r="G59" s="397">
        <v>3.3610197351872997E-3</v>
      </c>
      <c r="H59" s="171">
        <f t="shared" si="2"/>
        <v>1446.517985504619</v>
      </c>
      <c r="I59" s="169" t="s">
        <v>84</v>
      </c>
      <c r="J59" s="71" t="s">
        <v>646</v>
      </c>
      <c r="K59" s="163"/>
      <c r="L59" s="71"/>
      <c r="M59" s="71"/>
      <c r="N59" s="71"/>
    </row>
    <row r="60" spans="2:14" s="159" customFormat="1" x14ac:dyDescent="0.25">
      <c r="B60" s="96" t="s">
        <v>254</v>
      </c>
      <c r="C60" s="96" t="s">
        <v>1</v>
      </c>
      <c r="D60" s="170">
        <v>3.0576798378489443</v>
      </c>
      <c r="E60" s="397">
        <v>1.8943252038828219E-2</v>
      </c>
      <c r="F60" s="397">
        <v>7.7517877805886474E-5</v>
      </c>
      <c r="G60" s="397">
        <v>4.8920608798888061E-3</v>
      </c>
      <c r="H60" s="171">
        <f t="shared" si="2"/>
        <v>8226.5739551136521</v>
      </c>
      <c r="I60" s="169" t="s">
        <v>84</v>
      </c>
      <c r="J60" s="71" t="s">
        <v>218</v>
      </c>
      <c r="K60" s="163"/>
      <c r="L60" s="71"/>
      <c r="M60" s="71"/>
    </row>
    <row r="61" spans="2:14" s="159" customFormat="1" x14ac:dyDescent="0.25">
      <c r="B61" s="96" t="s">
        <v>398</v>
      </c>
      <c r="C61" s="96" t="s">
        <v>1</v>
      </c>
      <c r="D61" s="170">
        <v>2.9974455607599757</v>
      </c>
      <c r="E61" s="397">
        <v>9.5453685506574487E-3</v>
      </c>
      <c r="F61" s="397">
        <v>8.3533288411955886E-5</v>
      </c>
      <c r="G61" s="397">
        <v>5.5893788285244165E-3</v>
      </c>
      <c r="H61" s="171">
        <f t="shared" si="2"/>
        <v>5696.9885236154669</v>
      </c>
      <c r="I61" s="169" t="s">
        <v>84</v>
      </c>
      <c r="J61" s="71" t="s">
        <v>221</v>
      </c>
      <c r="K61" s="163"/>
      <c r="L61" s="71"/>
    </row>
    <row r="62" spans="2:14" s="159" customFormat="1" x14ac:dyDescent="0.25">
      <c r="B62" s="96" t="s">
        <v>399</v>
      </c>
      <c r="C62" s="96" t="s">
        <v>1</v>
      </c>
      <c r="D62" s="170">
        <v>1.7437522999999999</v>
      </c>
      <c r="E62" s="397">
        <v>2.4352647999999999E-5</v>
      </c>
      <c r="F62" s="397">
        <v>3.8942147605336001E-3</v>
      </c>
      <c r="G62" s="397">
        <v>3.8942147605336001E-3</v>
      </c>
      <c r="H62" s="171">
        <f t="shared" si="2"/>
        <v>1976.0702078309487</v>
      </c>
      <c r="I62" s="169" t="s">
        <v>416</v>
      </c>
      <c r="J62" s="71" t="s">
        <v>645</v>
      </c>
      <c r="K62" s="163"/>
      <c r="L62" s="71"/>
      <c r="M62" s="71"/>
    </row>
    <row r="63" spans="2:14" s="159" customFormat="1" x14ac:dyDescent="0.25">
      <c r="B63" s="96" t="s">
        <v>255</v>
      </c>
      <c r="C63" s="96" t="s">
        <v>1</v>
      </c>
      <c r="D63" s="170">
        <v>1.6494756315000958</v>
      </c>
      <c r="E63" s="397">
        <v>4.8249213331641271E-5</v>
      </c>
      <c r="F63" s="397">
        <v>6.9597364670926463E-5</v>
      </c>
      <c r="G63" s="397">
        <v>4.6377384857821113E-3</v>
      </c>
      <c r="H63" s="171">
        <f t="shared" si="2"/>
        <v>1803.3425538172301</v>
      </c>
      <c r="I63" s="169" t="s">
        <v>84</v>
      </c>
      <c r="J63" s="71" t="s">
        <v>219</v>
      </c>
      <c r="K63" s="163"/>
      <c r="L63" s="71"/>
      <c r="M63" s="71"/>
    </row>
    <row r="64" spans="2:14" s="159" customFormat="1" x14ac:dyDescent="0.25">
      <c r="B64" s="96" t="s">
        <v>400</v>
      </c>
      <c r="C64" s="96" t="s">
        <v>1</v>
      </c>
      <c r="D64" s="170">
        <v>3.1372762231640969</v>
      </c>
      <c r="E64" s="397">
        <v>1.8946961417427549E-2</v>
      </c>
      <c r="F64" s="397">
        <v>8.6070734432031176E-5</v>
      </c>
      <c r="G64" s="397">
        <v>5.0843271092914722E-3</v>
      </c>
      <c r="H64" s="171">
        <f t="shared" si="2"/>
        <v>8313.1607926252382</v>
      </c>
      <c r="I64" s="169" t="s">
        <v>84</v>
      </c>
      <c r="J64" s="71" t="s">
        <v>222</v>
      </c>
      <c r="K64" s="163"/>
      <c r="L64" s="71"/>
      <c r="M64" s="71"/>
    </row>
    <row r="65" spans="2:14" s="159" customFormat="1" x14ac:dyDescent="0.25">
      <c r="B65" s="96" t="s">
        <v>285</v>
      </c>
      <c r="C65" s="96" t="s">
        <v>1</v>
      </c>
      <c r="D65" s="170">
        <v>1.203454486665229</v>
      </c>
      <c r="E65" s="397">
        <v>5.7485730595355699E-3</v>
      </c>
      <c r="F65" s="397">
        <v>3.6583166366284706E-5</v>
      </c>
      <c r="G65" s="397">
        <v>1.7502953573364248E-3</v>
      </c>
      <c r="H65" s="171">
        <f t="shared" si="2"/>
        <v>2780.3595368205033</v>
      </c>
      <c r="I65" s="169" t="s">
        <v>84</v>
      </c>
      <c r="J65" s="71" t="s">
        <v>220</v>
      </c>
      <c r="K65" s="163"/>
      <c r="L65" s="71"/>
      <c r="M65" s="71"/>
    </row>
    <row r="66" spans="2:14" s="159" customFormat="1" x14ac:dyDescent="0.25">
      <c r="B66" s="96" t="s">
        <v>401</v>
      </c>
      <c r="C66" s="96" t="s">
        <v>1</v>
      </c>
      <c r="D66" s="170">
        <v>2.1702881457067429</v>
      </c>
      <c r="E66" s="397">
        <v>9.8026882815541264E-5</v>
      </c>
      <c r="F66" s="397">
        <v>2.7094541453590764E-4</v>
      </c>
      <c r="G66" s="397">
        <v>5.4601558645270276E-3</v>
      </c>
      <c r="H66" s="171">
        <f t="shared" si="2"/>
        <v>2367.6564171956775</v>
      </c>
      <c r="I66" s="169" t="s">
        <v>84</v>
      </c>
      <c r="J66" s="71" t="s">
        <v>226</v>
      </c>
      <c r="K66" s="163"/>
      <c r="L66" s="71"/>
      <c r="M66" s="71"/>
    </row>
    <row r="67" spans="2:14" s="159" customFormat="1" x14ac:dyDescent="0.25">
      <c r="B67" s="96" t="s">
        <v>402</v>
      </c>
      <c r="C67" s="96" t="s">
        <v>1</v>
      </c>
      <c r="D67" s="170">
        <v>1.7320158482536403</v>
      </c>
      <c r="E67" s="397">
        <v>6.8354524896443953E-5</v>
      </c>
      <c r="F67" s="397">
        <v>1.764561319969206E-4</v>
      </c>
      <c r="G67" s="397">
        <v>4.0437201773484725E-3</v>
      </c>
      <c r="H67" s="171">
        <f t="shared" si="2"/>
        <v>1876.382174367566</v>
      </c>
      <c r="I67" s="169" t="s">
        <v>84</v>
      </c>
      <c r="J67" s="71" t="s">
        <v>227</v>
      </c>
      <c r="K67" s="163"/>
      <c r="L67" s="71"/>
      <c r="M67" s="71"/>
      <c r="N67" s="71"/>
    </row>
    <row r="68" spans="2:14" s="159" customFormat="1" x14ac:dyDescent="0.25">
      <c r="B68" s="96" t="s">
        <v>403</v>
      </c>
      <c r="C68" s="96" t="s">
        <v>1</v>
      </c>
      <c r="D68" s="170">
        <v>0.41050074359161015</v>
      </c>
      <c r="E68" s="397">
        <v>2.3264394781915301E-5</v>
      </c>
      <c r="F68" s="397">
        <v>2.9799838598700586E-5</v>
      </c>
      <c r="G68" s="397">
        <v>1.2569185741588918E-3</v>
      </c>
      <c r="H68" s="171">
        <f t="shared" si="2"/>
        <v>455.20776091434811</v>
      </c>
      <c r="I68" s="169" t="s">
        <v>84</v>
      </c>
      <c r="J68" s="71" t="s">
        <v>225</v>
      </c>
      <c r="K68" s="163"/>
      <c r="L68" s="71"/>
      <c r="M68" s="71"/>
      <c r="N68" s="71"/>
    </row>
    <row r="69" spans="2:14" s="159" customFormat="1" x14ac:dyDescent="0.25">
      <c r="B69" s="96" t="s">
        <v>256</v>
      </c>
      <c r="C69" s="96" t="s">
        <v>1</v>
      </c>
      <c r="D69" s="178">
        <v>2.9972536696840462</v>
      </c>
      <c r="E69" s="398">
        <v>6.4340382247673818E-5</v>
      </c>
      <c r="F69" s="398">
        <v>8.1201794828247067E-5</v>
      </c>
      <c r="G69" s="398">
        <v>6.4878904803137502E-3</v>
      </c>
      <c r="H69" s="171">
        <f t="shared" si="2"/>
        <v>3211.2142356442832</v>
      </c>
      <c r="I69" s="169" t="s">
        <v>416</v>
      </c>
      <c r="J69" s="71" t="s">
        <v>217</v>
      </c>
      <c r="K69" s="163"/>
      <c r="L69" s="71"/>
      <c r="M69" s="71"/>
      <c r="N69" s="71"/>
    </row>
    <row r="70" spans="2:14" s="159" customFormat="1" x14ac:dyDescent="0.25">
      <c r="B70" s="96" t="s">
        <v>404</v>
      </c>
      <c r="C70" s="96" t="s">
        <v>1</v>
      </c>
      <c r="D70" s="178">
        <v>2.1702881457067429</v>
      </c>
      <c r="E70" s="398">
        <v>9.8026882815541264E-5</v>
      </c>
      <c r="F70" s="398">
        <v>2.7094541453590764E-4</v>
      </c>
      <c r="G70" s="398">
        <v>5.4601558645270276E-3</v>
      </c>
      <c r="H70" s="171">
        <f t="shared" si="2"/>
        <v>2367.6564171956775</v>
      </c>
      <c r="I70" s="169" t="s">
        <v>417</v>
      </c>
      <c r="J70" s="71" t="s">
        <v>226</v>
      </c>
      <c r="K70" s="163"/>
      <c r="L70" s="71"/>
      <c r="M70" s="71"/>
      <c r="N70" s="71"/>
    </row>
    <row r="71" spans="2:14" s="159" customFormat="1" x14ac:dyDescent="0.25">
      <c r="B71" s="96" t="s">
        <v>405</v>
      </c>
      <c r="C71" s="96" t="s">
        <v>1</v>
      </c>
      <c r="D71" s="178">
        <v>0.41050074359161015</v>
      </c>
      <c r="E71" s="398">
        <v>2.3264394781915301E-5</v>
      </c>
      <c r="F71" s="398">
        <v>2.9799838598700586E-5</v>
      </c>
      <c r="G71" s="398">
        <v>1.2569185741588918E-3</v>
      </c>
      <c r="H71" s="171">
        <f t="shared" si="2"/>
        <v>455.20776091434811</v>
      </c>
      <c r="I71" s="169" t="s">
        <v>418</v>
      </c>
      <c r="J71" s="71" t="s">
        <v>225</v>
      </c>
      <c r="K71" s="163"/>
      <c r="L71" s="71"/>
      <c r="M71" s="71"/>
      <c r="N71" s="71"/>
    </row>
    <row r="72" spans="2:14" s="159" customFormat="1" x14ac:dyDescent="0.25">
      <c r="B72" s="96" t="s">
        <v>53</v>
      </c>
      <c r="C72" s="96" t="s">
        <v>1</v>
      </c>
      <c r="D72" s="170">
        <v>10.400995928933837</v>
      </c>
      <c r="E72" s="397">
        <v>3.8841816913328525E-4</v>
      </c>
      <c r="F72" s="397">
        <v>9.5282070183273825E-4</v>
      </c>
      <c r="G72" s="397">
        <v>3.2503361124152225E-2</v>
      </c>
      <c r="H72" s="171">
        <f t="shared" si="2"/>
        <v>11505.706557130039</v>
      </c>
      <c r="I72" s="169" t="s">
        <v>84</v>
      </c>
      <c r="J72" s="71" t="s">
        <v>228</v>
      </c>
      <c r="K72" s="163"/>
      <c r="L72" s="71"/>
      <c r="M72" s="71"/>
      <c r="N72" s="71"/>
    </row>
    <row r="73" spans="2:14" s="159" customFormat="1" x14ac:dyDescent="0.25">
      <c r="B73" s="96" t="s">
        <v>292</v>
      </c>
      <c r="C73" s="96" t="s">
        <v>1</v>
      </c>
      <c r="D73" s="170">
        <v>4.4718389544682751</v>
      </c>
      <c r="E73" s="397">
        <v>1.2780451474074059E-4</v>
      </c>
      <c r="F73" s="397">
        <v>3.4853443743727646E-4</v>
      </c>
      <c r="G73" s="397">
        <v>1.8873503831672141E-2</v>
      </c>
      <c r="H73" s="171">
        <f t="shared" si="2"/>
        <v>5081.6712300729796</v>
      </c>
      <c r="I73" s="169" t="s">
        <v>84</v>
      </c>
      <c r="J73" s="71" t="s">
        <v>229</v>
      </c>
      <c r="K73" s="163"/>
      <c r="L73" s="71"/>
      <c r="M73" s="71"/>
      <c r="N73" s="71"/>
    </row>
    <row r="74" spans="2:14" s="159" customFormat="1" x14ac:dyDescent="0.25">
      <c r="B74" s="96" t="s">
        <v>33</v>
      </c>
      <c r="C74" s="96" t="s">
        <v>1</v>
      </c>
      <c r="D74" s="170">
        <v>9.2478390548319371</v>
      </c>
      <c r="E74" s="397">
        <v>2.0154475450054766E-3</v>
      </c>
      <c r="F74" s="397">
        <v>7.6309833994085295E-4</v>
      </c>
      <c r="G74" s="397">
        <v>3.1307399308295E-2</v>
      </c>
      <c r="H74" s="171">
        <f t="shared" si="2"/>
        <v>10742.521387025583</v>
      </c>
      <c r="I74" s="169" t="s">
        <v>84</v>
      </c>
      <c r="J74" s="71" t="s">
        <v>231</v>
      </c>
      <c r="K74" s="163"/>
      <c r="L74" s="71"/>
      <c r="M74" s="71"/>
      <c r="N74" s="70"/>
    </row>
    <row r="75" spans="2:14" s="159" customFormat="1" x14ac:dyDescent="0.25">
      <c r="B75" s="96" t="s">
        <v>34</v>
      </c>
      <c r="C75" s="96" t="s">
        <v>1</v>
      </c>
      <c r="D75" s="170">
        <v>0.97081551958148959</v>
      </c>
      <c r="E75" s="397">
        <v>1.9993345595241342E-3</v>
      </c>
      <c r="F75" s="397">
        <v>5.5785387986517651E-5</v>
      </c>
      <c r="G75" s="397">
        <v>2.1296555375507498E-3</v>
      </c>
      <c r="H75" s="171">
        <f t="shared" si="2"/>
        <v>1566.09083484553</v>
      </c>
      <c r="I75" s="169" t="s">
        <v>84</v>
      </c>
      <c r="J75" s="159" t="s">
        <v>232</v>
      </c>
      <c r="K75" s="163"/>
      <c r="M75" s="71"/>
      <c r="N75" s="70"/>
    </row>
    <row r="76" spans="2:14" s="159" customFormat="1" x14ac:dyDescent="0.25">
      <c r="B76" s="96" t="s">
        <v>110</v>
      </c>
      <c r="C76" s="96" t="s">
        <v>1</v>
      </c>
      <c r="D76" s="170">
        <v>1.5489193388251481</v>
      </c>
      <c r="E76" s="397">
        <v>9.0294480709330531E-4</v>
      </c>
      <c r="F76" s="397">
        <v>3.8261577147934118E-5</v>
      </c>
      <c r="G76" s="397">
        <v>4.3822173157851395E-4</v>
      </c>
      <c r="H76" s="171">
        <f t="shared" si="2"/>
        <v>1802.4176888123714</v>
      </c>
      <c r="I76" s="169" t="s">
        <v>84</v>
      </c>
      <c r="J76" s="159" t="s">
        <v>233</v>
      </c>
      <c r="K76" s="163"/>
      <c r="M76" s="71"/>
      <c r="N76" s="70"/>
    </row>
    <row r="77" spans="2:14" s="159" customFormat="1" ht="15.75" x14ac:dyDescent="0.25">
      <c r="B77" s="389" t="s">
        <v>35</v>
      </c>
      <c r="C77" s="389"/>
      <c r="D77" s="389"/>
      <c r="E77" s="399"/>
      <c r="F77" s="399"/>
      <c r="G77" s="399"/>
      <c r="H77" s="389"/>
      <c r="I77" s="391"/>
      <c r="J77" s="389"/>
      <c r="K77" s="163"/>
      <c r="M77" s="71"/>
      <c r="N77" s="70"/>
    </row>
    <row r="78" spans="2:14" s="159" customFormat="1" x14ac:dyDescent="0.25">
      <c r="B78" s="96" t="s">
        <v>420</v>
      </c>
      <c r="C78" s="96" t="s">
        <v>286</v>
      </c>
      <c r="D78" s="178"/>
      <c r="E78" s="398"/>
      <c r="F78" s="398"/>
      <c r="G78" s="398"/>
      <c r="H78" s="173">
        <v>11.953490289161735</v>
      </c>
      <c r="I78" s="169" t="s">
        <v>90</v>
      </c>
      <c r="J78" s="159" t="s">
        <v>185</v>
      </c>
    </row>
    <row r="79" spans="2:14" s="159" customFormat="1" x14ac:dyDescent="0.25">
      <c r="B79" s="96" t="s">
        <v>421</v>
      </c>
      <c r="C79" s="96" t="s">
        <v>42</v>
      </c>
      <c r="D79" s="178"/>
      <c r="E79" s="398"/>
      <c r="F79" s="398"/>
      <c r="G79" s="398"/>
      <c r="H79" s="390">
        <v>1.6299149999999998E-2</v>
      </c>
      <c r="I79" s="169" t="s">
        <v>93</v>
      </c>
      <c r="J79" s="159" t="s">
        <v>155</v>
      </c>
      <c r="K79" s="71"/>
      <c r="L79" s="70"/>
    </row>
    <row r="80" spans="2:14" s="159" customFormat="1" x14ac:dyDescent="0.25">
      <c r="B80" s="96" t="s">
        <v>422</v>
      </c>
      <c r="C80" s="96" t="s">
        <v>42</v>
      </c>
      <c r="D80" s="178"/>
      <c r="E80" s="398"/>
      <c r="F80" s="398"/>
      <c r="G80" s="398"/>
      <c r="H80" s="390">
        <f>H81-H79</f>
        <v>1.5811137000000003E-2</v>
      </c>
      <c r="I80" s="169" t="s">
        <v>93</v>
      </c>
    </row>
    <row r="81" spans="2:12" s="159" customFormat="1" x14ac:dyDescent="0.25">
      <c r="B81" s="96" t="s">
        <v>423</v>
      </c>
      <c r="C81" s="96" t="s">
        <v>42</v>
      </c>
      <c r="D81" s="178"/>
      <c r="E81" s="398"/>
      <c r="F81" s="398"/>
      <c r="G81" s="398"/>
      <c r="H81" s="390">
        <v>3.2110287000000001E-2</v>
      </c>
      <c r="I81" s="169" t="s">
        <v>93</v>
      </c>
      <c r="J81" s="159" t="s">
        <v>210</v>
      </c>
      <c r="L81" s="70"/>
    </row>
    <row r="82" spans="2:12" s="159" customFormat="1" ht="15.75" x14ac:dyDescent="0.25">
      <c r="B82" s="389" t="s">
        <v>8</v>
      </c>
      <c r="C82" s="389"/>
      <c r="D82" s="389"/>
      <c r="E82" s="399"/>
      <c r="F82" s="399"/>
      <c r="G82" s="399"/>
      <c r="H82" s="389"/>
      <c r="I82" s="391"/>
      <c r="J82" s="389"/>
    </row>
    <row r="83" spans="2:12" s="159" customFormat="1" x14ac:dyDescent="0.25">
      <c r="B83" s="96" t="s">
        <v>20</v>
      </c>
      <c r="C83" s="96" t="s">
        <v>1</v>
      </c>
      <c r="D83" s="170">
        <v>8.2616105186804199E-6</v>
      </c>
      <c r="E83" s="397">
        <v>1.747185929341839E-10</v>
      </c>
      <c r="F83" s="397">
        <v>4.7321769206690297E-10</v>
      </c>
      <c r="G83" s="397">
        <v>1.6013712014882334E-8</v>
      </c>
      <c r="H83" s="171">
        <f t="shared" ref="H83:H97" si="3">(D83+(E83*$D$9)+(F83*$D$8)+(G83*$D$7))*1000</f>
        <v>8.8015724016323217E-3</v>
      </c>
      <c r="I83" s="169" t="s">
        <v>89</v>
      </c>
      <c r="J83" s="71" t="s">
        <v>234</v>
      </c>
      <c r="K83" s="71"/>
      <c r="L83" s="71"/>
    </row>
    <row r="84" spans="2:12" s="159" customFormat="1" x14ac:dyDescent="0.25">
      <c r="B84" s="96" t="s">
        <v>21</v>
      </c>
      <c r="C84" s="96" t="s">
        <v>1</v>
      </c>
      <c r="D84" s="170">
        <v>0.95591663687445805</v>
      </c>
      <c r="E84" s="397">
        <v>2.6010503032618892E-6</v>
      </c>
      <c r="F84" s="397">
        <v>2.0368970883718792E-6</v>
      </c>
      <c r="G84" s="397">
        <v>1.6914033985760804E-4</v>
      </c>
      <c r="H84" s="171">
        <f t="shared" si="3"/>
        <v>961.73715851902512</v>
      </c>
      <c r="I84" s="169" t="s">
        <v>89</v>
      </c>
      <c r="J84" s="71" t="s">
        <v>235</v>
      </c>
      <c r="K84" s="71"/>
      <c r="L84" s="71"/>
    </row>
    <row r="85" spans="2:12" s="159" customFormat="1" x14ac:dyDescent="0.25">
      <c r="B85" s="96" t="s">
        <v>67</v>
      </c>
      <c r="C85" s="96" t="s">
        <v>1</v>
      </c>
      <c r="D85" s="170">
        <v>24.960930596473098</v>
      </c>
      <c r="E85" s="397">
        <v>3.2428778815110772E-3</v>
      </c>
      <c r="F85" s="397">
        <v>2.0662232456199999E-3</v>
      </c>
      <c r="G85" s="397">
        <v>5.3071686581531947E-2</v>
      </c>
      <c r="H85" s="171">
        <f t="shared" si="3"/>
        <v>27470.298083396847</v>
      </c>
      <c r="I85" s="169" t="s">
        <v>89</v>
      </c>
      <c r="J85" s="159" t="s">
        <v>117</v>
      </c>
      <c r="K85" s="71"/>
      <c r="L85" s="71"/>
    </row>
    <row r="86" spans="2:12" s="159" customFormat="1" x14ac:dyDescent="0.25">
      <c r="B86" s="96" t="s">
        <v>118</v>
      </c>
      <c r="C86" s="96" t="s">
        <v>1</v>
      </c>
      <c r="D86" s="170">
        <v>1.5235185592071105</v>
      </c>
      <c r="E86" s="397">
        <v>6.9803385937266109E-5</v>
      </c>
      <c r="F86" s="397">
        <v>1.8990036807667912E-4</v>
      </c>
      <c r="G86" s="397">
        <v>4.2780328972758337E-3</v>
      </c>
      <c r="H86" s="171">
        <f t="shared" si="3"/>
        <v>1675.674653704908</v>
      </c>
      <c r="I86" s="169" t="s">
        <v>89</v>
      </c>
      <c r="J86" s="159" t="s">
        <v>119</v>
      </c>
      <c r="K86" s="71"/>
      <c r="L86" s="71"/>
    </row>
    <row r="87" spans="2:12" s="159" customFormat="1" x14ac:dyDescent="0.25">
      <c r="B87" s="96" t="s">
        <v>424</v>
      </c>
      <c r="C87" s="96" t="s">
        <v>1</v>
      </c>
      <c r="D87" s="170">
        <v>0.64867670528474808</v>
      </c>
      <c r="E87" s="397">
        <v>4.2266645249333224E-5</v>
      </c>
      <c r="F87" s="397">
        <v>2.8469726323438298E-3</v>
      </c>
      <c r="G87" s="397">
        <v>1.3569992940037528E-3</v>
      </c>
      <c r="H87" s="171">
        <f t="shared" si="3"/>
        <v>780.30257880156125</v>
      </c>
      <c r="I87" s="169" t="s">
        <v>112</v>
      </c>
      <c r="J87" s="159" t="s">
        <v>120</v>
      </c>
      <c r="K87" s="71"/>
      <c r="L87" s="71"/>
    </row>
    <row r="88" spans="2:12" s="159" customFormat="1" x14ac:dyDescent="0.25">
      <c r="B88" s="96" t="s">
        <v>22</v>
      </c>
      <c r="C88" s="96" t="s">
        <v>1</v>
      </c>
      <c r="D88" s="170">
        <v>9.8405325111341299E-2</v>
      </c>
      <c r="E88" s="397">
        <v>3.3632139678386916E-6</v>
      </c>
      <c r="F88" s="397">
        <v>2.7678037501366587E-5</v>
      </c>
      <c r="G88" s="397">
        <v>3.0960992791063334E-4</v>
      </c>
      <c r="H88" s="171">
        <f t="shared" si="3"/>
        <v>109.3598597001758</v>
      </c>
      <c r="I88" s="169" t="s">
        <v>89</v>
      </c>
      <c r="J88" s="71" t="s">
        <v>37</v>
      </c>
      <c r="K88" s="71"/>
      <c r="L88" s="71"/>
    </row>
    <row r="89" spans="2:12" s="159" customFormat="1" x14ac:dyDescent="0.25">
      <c r="B89" s="96" t="s">
        <v>23</v>
      </c>
      <c r="C89" s="96" t="s">
        <v>1</v>
      </c>
      <c r="D89" s="170">
        <v>1.4170396172642701</v>
      </c>
      <c r="E89" s="397">
        <v>4.1954966084565433E-5</v>
      </c>
      <c r="F89" s="397">
        <v>1.1083658523662765E-4</v>
      </c>
      <c r="G89" s="397">
        <v>2.7221948366555749E-3</v>
      </c>
      <c r="H89" s="171">
        <f t="shared" si="3"/>
        <v>1512.9269527629726</v>
      </c>
      <c r="I89" s="169" t="s">
        <v>89</v>
      </c>
      <c r="J89" s="71" t="s">
        <v>38</v>
      </c>
      <c r="K89" s="71"/>
      <c r="L89" s="71"/>
    </row>
    <row r="90" spans="2:12" s="159" customFormat="1" x14ac:dyDescent="0.25">
      <c r="B90" s="96" t="s">
        <v>121</v>
      </c>
      <c r="C90" s="96" t="s">
        <v>1</v>
      </c>
      <c r="D90" s="170">
        <v>1.625019718411054</v>
      </c>
      <c r="E90" s="397">
        <v>6.5893321423716108E-5</v>
      </c>
      <c r="F90" s="397">
        <v>1.5218393201020999E-4</v>
      </c>
      <c r="G90" s="397">
        <v>6.2918200474016105E-3</v>
      </c>
      <c r="H90" s="171">
        <f t="shared" si="3"/>
        <v>1835.4972001066728</v>
      </c>
      <c r="I90" s="169" t="s">
        <v>89</v>
      </c>
      <c r="J90" s="159" t="s">
        <v>122</v>
      </c>
      <c r="K90" s="71"/>
      <c r="L90" s="71"/>
    </row>
    <row r="91" spans="2:12" s="159" customFormat="1" x14ac:dyDescent="0.25">
      <c r="B91" s="96" t="s">
        <v>24</v>
      </c>
      <c r="C91" s="96" t="s">
        <v>1</v>
      </c>
      <c r="D91" s="170">
        <v>1.6618009884267799</v>
      </c>
      <c r="E91" s="397">
        <v>1.4144856756223255E-3</v>
      </c>
      <c r="F91" s="397">
        <v>2.3403531466476292E-4</v>
      </c>
      <c r="G91" s="397">
        <v>3.5901438368374722E-3</v>
      </c>
      <c r="H91" s="171">
        <f t="shared" si="3"/>
        <v>2150.8969963824338</v>
      </c>
      <c r="I91" s="169" t="s">
        <v>89</v>
      </c>
      <c r="J91" s="159" t="s">
        <v>39</v>
      </c>
      <c r="K91" s="71"/>
      <c r="L91" s="71"/>
    </row>
    <row r="92" spans="2:12" s="159" customFormat="1" x14ac:dyDescent="0.25">
      <c r="B92" s="96" t="s">
        <v>25</v>
      </c>
      <c r="C92" s="96" t="s">
        <v>1</v>
      </c>
      <c r="D92" s="170">
        <v>1.6618009884267799</v>
      </c>
      <c r="E92" s="397">
        <v>1.4144856756223255E-3</v>
      </c>
      <c r="F92" s="397">
        <v>2.3403531466476292E-4</v>
      </c>
      <c r="G92" s="397">
        <v>3.5901438368374722E-3</v>
      </c>
      <c r="H92" s="171">
        <f t="shared" si="3"/>
        <v>2150.8969963824338</v>
      </c>
      <c r="I92" s="169" t="s">
        <v>89</v>
      </c>
      <c r="J92" s="159" t="s">
        <v>39</v>
      </c>
      <c r="K92" s="71"/>
      <c r="L92" s="71"/>
    </row>
    <row r="93" spans="2:12" s="159" customFormat="1" x14ac:dyDescent="0.25">
      <c r="B93" s="96" t="s">
        <v>26</v>
      </c>
      <c r="C93" s="96" t="s">
        <v>1</v>
      </c>
      <c r="D93" s="170">
        <v>1.0258298046052099</v>
      </c>
      <c r="E93" s="397">
        <v>2.2500731860214766E-5</v>
      </c>
      <c r="F93" s="397">
        <v>3.5629656486758239E-5</v>
      </c>
      <c r="G93" s="397">
        <v>3.2871039255149997E-3</v>
      </c>
      <c r="H93" s="171">
        <f t="shared" si="3"/>
        <v>1131.403246695246</v>
      </c>
      <c r="I93" s="169" t="s">
        <v>89</v>
      </c>
      <c r="J93" s="71" t="s">
        <v>40</v>
      </c>
      <c r="K93" s="71"/>
      <c r="L93" s="71"/>
    </row>
    <row r="94" spans="2:12" s="159" customFormat="1" x14ac:dyDescent="0.25">
      <c r="B94" s="96" t="s">
        <v>27</v>
      </c>
      <c r="C94" s="96" t="s">
        <v>1</v>
      </c>
      <c r="D94" s="170">
        <v>4.6377024416856099</v>
      </c>
      <c r="E94" s="397">
        <v>1.4513408487318893E-4</v>
      </c>
      <c r="F94" s="397">
        <v>2.7480308646500004E-4</v>
      </c>
      <c r="G94" s="397">
        <v>1.0882395485538527E-2</v>
      </c>
      <c r="H94" s="171">
        <f t="shared" si="3"/>
        <v>5010.3293251641808</v>
      </c>
      <c r="I94" s="169" t="s">
        <v>89</v>
      </c>
      <c r="J94" s="71" t="s">
        <v>41</v>
      </c>
      <c r="K94" s="71"/>
      <c r="L94" s="71"/>
    </row>
    <row r="95" spans="2:12" s="159" customFormat="1" x14ac:dyDescent="0.25">
      <c r="B95" s="96" t="s">
        <v>86</v>
      </c>
      <c r="C95" s="96" t="s">
        <v>1</v>
      </c>
      <c r="D95" s="170">
        <v>2.4252854314612051</v>
      </c>
      <c r="E95" s="397">
        <v>3.312128250833601E-5</v>
      </c>
      <c r="F95" s="397">
        <v>4.9045357646018532E-4</v>
      </c>
      <c r="G95" s="397">
        <v>2.0384746068955444E-2</v>
      </c>
      <c r="H95" s="171">
        <f t="shared" si="3"/>
        <v>3059.3376535354628</v>
      </c>
      <c r="I95" s="169" t="s">
        <v>90</v>
      </c>
      <c r="J95" s="71" t="s">
        <v>43</v>
      </c>
    </row>
    <row r="96" spans="2:12" s="159" customFormat="1" x14ac:dyDescent="0.25">
      <c r="B96" s="96" t="s">
        <v>91</v>
      </c>
      <c r="C96" s="96" t="s">
        <v>1</v>
      </c>
      <c r="D96" s="170">
        <v>1.4598769867760539E-4</v>
      </c>
      <c r="E96" s="397">
        <v>5.4773940369108725E-9</v>
      </c>
      <c r="F96" s="397">
        <v>1.7277566837368383E-7</v>
      </c>
      <c r="G96" s="397">
        <v>2.5457972110534304E-7</v>
      </c>
      <c r="H96" s="171">
        <f t="shared" si="3"/>
        <v>0.15991431844501022</v>
      </c>
      <c r="I96" s="169" t="s">
        <v>90</v>
      </c>
      <c r="J96" s="71" t="s">
        <v>44</v>
      </c>
      <c r="K96" s="71"/>
      <c r="L96" s="71"/>
    </row>
    <row r="97" spans="2:18" s="159" customFormat="1" x14ac:dyDescent="0.25">
      <c r="B97" s="96" t="s">
        <v>85</v>
      </c>
      <c r="C97" s="96" t="s">
        <v>1</v>
      </c>
      <c r="D97" s="170">
        <v>0.41460283441940904</v>
      </c>
      <c r="E97" s="397">
        <v>2.6655102009199964E-5</v>
      </c>
      <c r="F97" s="397">
        <v>2.7631848736821879E-3</v>
      </c>
      <c r="G97" s="397">
        <v>4.4741930923490277E-4</v>
      </c>
      <c r="H97" s="171">
        <f t="shared" si="3"/>
        <v>512.45819219199541</v>
      </c>
      <c r="I97" s="169" t="s">
        <v>84</v>
      </c>
      <c r="J97" s="159" t="s">
        <v>88</v>
      </c>
      <c r="K97" s="71"/>
      <c r="L97" s="71"/>
      <c r="R97" s="167"/>
    </row>
    <row r="98" spans="2:18" s="159" customFormat="1" x14ac:dyDescent="0.25">
      <c r="B98" s="96" t="s">
        <v>291</v>
      </c>
      <c r="C98" s="96" t="s">
        <v>1</v>
      </c>
      <c r="D98" s="178"/>
      <c r="E98" s="398"/>
      <c r="F98" s="398"/>
      <c r="G98" s="398"/>
      <c r="H98" s="173">
        <v>1049.7069435841399</v>
      </c>
      <c r="I98" s="169" t="s">
        <v>84</v>
      </c>
      <c r="J98" s="159" t="s">
        <v>87</v>
      </c>
      <c r="K98" s="71"/>
      <c r="L98" s="71"/>
      <c r="R98" s="167"/>
    </row>
    <row r="99" spans="2:18" s="159" customFormat="1" x14ac:dyDescent="0.25">
      <c r="B99" s="96" t="s">
        <v>108</v>
      </c>
      <c r="C99" s="96" t="s">
        <v>1</v>
      </c>
      <c r="D99" s="178"/>
      <c r="E99" s="398"/>
      <c r="F99" s="398"/>
      <c r="G99" s="398"/>
      <c r="H99" s="173">
        <v>1310</v>
      </c>
      <c r="I99" s="169" t="s">
        <v>90</v>
      </c>
      <c r="J99" s="159" t="s">
        <v>62</v>
      </c>
      <c r="R99" s="167"/>
    </row>
    <row r="100" spans="2:18" s="159" customFormat="1" x14ac:dyDescent="0.25">
      <c r="B100" s="96" t="s">
        <v>111</v>
      </c>
      <c r="C100" s="96" t="s">
        <v>1</v>
      </c>
      <c r="D100" s="170">
        <v>0.27858008310983945</v>
      </c>
      <c r="E100" s="397">
        <v>6.7706024330814438E-6</v>
      </c>
      <c r="F100" s="397">
        <v>1.1332471593049646E-5</v>
      </c>
      <c r="G100" s="397">
        <v>9.3396566494150825E-4</v>
      </c>
      <c r="H100" s="171">
        <f t="shared" ref="H100:H105" si="4">(D100+(E100*$D$9)+(F100*$D$8)+(G100*$D$7))*1000</f>
        <v>308.71057190745665</v>
      </c>
      <c r="I100" s="169" t="s">
        <v>112</v>
      </c>
      <c r="J100" s="159" t="s">
        <v>113</v>
      </c>
      <c r="K100" s="71"/>
      <c r="R100" s="167"/>
    </row>
    <row r="101" spans="2:18" s="159" customFormat="1" x14ac:dyDescent="0.25">
      <c r="B101" s="96" t="s">
        <v>107</v>
      </c>
      <c r="C101" s="96" t="s">
        <v>1</v>
      </c>
      <c r="D101" s="170">
        <v>0.41246262905771303</v>
      </c>
      <c r="E101" s="397">
        <v>1.2815293254944498E-5</v>
      </c>
      <c r="F101" s="397">
        <v>1.1021495972158117E-5</v>
      </c>
      <c r="G101" s="397">
        <v>4.8027567844755557E-3</v>
      </c>
      <c r="H101" s="171">
        <f t="shared" si="4"/>
        <v>560.24998719176028</v>
      </c>
      <c r="I101" s="169" t="s">
        <v>89</v>
      </c>
      <c r="J101" s="159" t="s">
        <v>109</v>
      </c>
      <c r="R101" s="167"/>
    </row>
    <row r="102" spans="2:18" s="159" customFormat="1" x14ac:dyDescent="0.25">
      <c r="B102" s="96" t="s">
        <v>634</v>
      </c>
      <c r="C102" s="96" t="s">
        <v>1</v>
      </c>
      <c r="D102" s="170">
        <v>1.7803344000000001</v>
      </c>
      <c r="E102" s="397">
        <v>2.1070450999999997E-5</v>
      </c>
      <c r="F102" s="397">
        <v>8.2710412000000006E-5</v>
      </c>
      <c r="G102" s="397">
        <v>1.9627233586178398E-2</v>
      </c>
      <c r="H102" s="171">
        <f t="shared" si="4"/>
        <v>2377.0509686363521</v>
      </c>
      <c r="I102" s="169" t="s">
        <v>662</v>
      </c>
      <c r="J102" s="159" t="s">
        <v>661</v>
      </c>
      <c r="K102" s="71"/>
      <c r="L102" s="71"/>
      <c r="R102" s="167"/>
    </row>
    <row r="103" spans="2:18" s="159" customFormat="1" x14ac:dyDescent="0.25">
      <c r="B103" s="96" t="s">
        <v>664</v>
      </c>
      <c r="C103" s="96" t="s">
        <v>1</v>
      </c>
      <c r="D103" s="170">
        <v>1.6542555000000001</v>
      </c>
      <c r="E103" s="397">
        <v>1.3750658E-3</v>
      </c>
      <c r="F103" s="397">
        <v>7.6054719999999994E-4</v>
      </c>
      <c r="G103" s="397">
        <v>5.8338512350536997E-3</v>
      </c>
      <c r="H103" s="171">
        <f t="shared" si="4"/>
        <v>2214.9587956516107</v>
      </c>
      <c r="I103" s="169" t="s">
        <v>662</v>
      </c>
      <c r="J103" s="159" t="s">
        <v>663</v>
      </c>
      <c r="K103" s="71"/>
      <c r="L103" s="71"/>
      <c r="R103" s="167"/>
    </row>
    <row r="104" spans="2:18" s="159" customFormat="1" x14ac:dyDescent="0.25">
      <c r="B104" s="96" t="s">
        <v>665</v>
      </c>
      <c r="C104" s="96" t="s">
        <v>1</v>
      </c>
      <c r="D104" s="170">
        <v>0.32519384000000001</v>
      </c>
      <c r="E104" s="397">
        <v>8.0655199999999999E-4</v>
      </c>
      <c r="F104" s="397">
        <v>7.5718159000000003E-4</v>
      </c>
      <c r="G104" s="397">
        <v>9.8284686754489996E-4</v>
      </c>
      <c r="H104" s="171">
        <f t="shared" si="4"/>
        <v>589.61661054634703</v>
      </c>
      <c r="I104" s="169" t="s">
        <v>662</v>
      </c>
      <c r="J104" s="159" t="s">
        <v>666</v>
      </c>
      <c r="K104" s="71"/>
      <c r="L104" s="71"/>
      <c r="R104" s="167"/>
    </row>
    <row r="105" spans="2:18" s="159" customFormat="1" x14ac:dyDescent="0.25">
      <c r="B105" s="96" t="s">
        <v>688</v>
      </c>
      <c r="C105" s="96" t="s">
        <v>1</v>
      </c>
      <c r="D105" s="178">
        <v>1.6542555000000001</v>
      </c>
      <c r="E105" s="398">
        <v>1.3750658E-3</v>
      </c>
      <c r="F105" s="398">
        <v>7.6054719999999994E-4</v>
      </c>
      <c r="G105" s="398">
        <v>5.8338512350536997E-3</v>
      </c>
      <c r="H105" s="171">
        <f t="shared" si="4"/>
        <v>2214.9587956516107</v>
      </c>
      <c r="I105" s="169" t="s">
        <v>662</v>
      </c>
      <c r="J105" s="159" t="s">
        <v>663</v>
      </c>
      <c r="K105" s="71"/>
      <c r="L105" s="71"/>
      <c r="R105" s="167"/>
    </row>
    <row r="106" spans="2:18" s="159" customFormat="1" ht="15.75" x14ac:dyDescent="0.25">
      <c r="B106" s="389" t="s">
        <v>48</v>
      </c>
      <c r="C106" s="389"/>
      <c r="D106" s="389"/>
      <c r="E106" s="399"/>
      <c r="F106" s="399"/>
      <c r="G106" s="399"/>
      <c r="H106" s="389"/>
      <c r="I106" s="391"/>
      <c r="J106" s="389"/>
      <c r="K106" s="163"/>
      <c r="M106" s="71"/>
      <c r="N106" s="71"/>
    </row>
    <row r="107" spans="2:18" s="159" customFormat="1" x14ac:dyDescent="0.25">
      <c r="B107" s="96" t="s">
        <v>49</v>
      </c>
      <c r="C107" s="96" t="s">
        <v>57</v>
      </c>
      <c r="D107" s="170">
        <f>91.2/1000</f>
        <v>9.1200000000000003E-2</v>
      </c>
      <c r="E107" s="397">
        <f>8.12/1000000</f>
        <v>8.1199999999999985E-6</v>
      </c>
      <c r="F107" s="397">
        <f>1.69/1000</f>
        <v>1.6899999999999999E-3</v>
      </c>
      <c r="G107" s="397">
        <f>171/1000000</f>
        <v>1.7100000000000001E-4</v>
      </c>
      <c r="H107" s="171">
        <f t="shared" ref="H107:H113" si="5">(D107+(E107*$D$9)+(F107*$D$8)+(G107*$D$7))*1000</f>
        <v>145.80179999999999</v>
      </c>
      <c r="I107" s="169" t="s">
        <v>84</v>
      </c>
      <c r="J107" s="159" t="s">
        <v>334</v>
      </c>
      <c r="K107" s="71"/>
      <c r="L107" s="71"/>
    </row>
    <row r="108" spans="2:18" s="159" customFormat="1" x14ac:dyDescent="0.25">
      <c r="B108" s="96" t="s">
        <v>375</v>
      </c>
      <c r="C108" s="96" t="s">
        <v>57</v>
      </c>
      <c r="D108" s="170">
        <v>4.0244853000000001E-3</v>
      </c>
      <c r="E108" s="397">
        <v>7.9806566999999999E-8</v>
      </c>
      <c r="F108" s="397">
        <v>6.9980357999999997E-8</v>
      </c>
      <c r="G108" s="397">
        <v>6.887307865481801E-6</v>
      </c>
      <c r="H108" s="171">
        <f t="shared" si="5"/>
        <v>4.2542127262434546</v>
      </c>
      <c r="I108" s="169" t="s">
        <v>662</v>
      </c>
      <c r="J108" s="159" t="s">
        <v>650</v>
      </c>
      <c r="K108" s="71"/>
      <c r="L108" s="71"/>
    </row>
    <row r="109" spans="2:18" s="159" customFormat="1" x14ac:dyDescent="0.25">
      <c r="B109" s="96" t="s">
        <v>372</v>
      </c>
      <c r="C109" s="96" t="s">
        <v>57</v>
      </c>
      <c r="D109" s="170">
        <v>4.2743054000000003E-2</v>
      </c>
      <c r="E109" s="397">
        <v>6.8079306000000007E-5</v>
      </c>
      <c r="F109" s="397">
        <v>5.2857906999999999E-4</v>
      </c>
      <c r="G109" s="397">
        <v>1.2359392789795999E-4</v>
      </c>
      <c r="H109" s="171">
        <f t="shared" si="5"/>
        <v>79.292101886938809</v>
      </c>
      <c r="I109" s="169" t="s">
        <v>662</v>
      </c>
      <c r="J109" s="159" t="s">
        <v>647</v>
      </c>
      <c r="K109" s="71"/>
      <c r="L109" s="71"/>
    </row>
    <row r="110" spans="2:18" s="159" customFormat="1" x14ac:dyDescent="0.25">
      <c r="B110" s="96" t="s">
        <v>373</v>
      </c>
      <c r="C110" s="96" t="s">
        <v>57</v>
      </c>
      <c r="D110" s="170">
        <v>1.2991040000000001E-2</v>
      </c>
      <c r="E110" s="397">
        <v>4.5145853000000001E-4</v>
      </c>
      <c r="F110" s="397">
        <v>4.7898268000000002E-4</v>
      </c>
      <c r="G110" s="397">
        <v>4.4753481809233999E-5</v>
      </c>
      <c r="H110" s="171">
        <f t="shared" si="5"/>
        <v>147.38166994427701</v>
      </c>
      <c r="I110" s="169" t="s">
        <v>662</v>
      </c>
      <c r="J110" s="159" t="s">
        <v>648</v>
      </c>
      <c r="K110" s="71"/>
      <c r="L110" s="71"/>
    </row>
    <row r="111" spans="2:18" s="159" customFormat="1" x14ac:dyDescent="0.25">
      <c r="B111" s="96" t="s">
        <v>374</v>
      </c>
      <c r="C111" s="96" t="s">
        <v>57</v>
      </c>
      <c r="D111" s="170">
        <v>7.1841185999999987E-2</v>
      </c>
      <c r="E111" s="397">
        <v>2.4306162E-6</v>
      </c>
      <c r="F111" s="397">
        <v>7.7619164999999995E-6</v>
      </c>
      <c r="G111" s="397">
        <v>2.6750424406227002E-4</v>
      </c>
      <c r="H111" s="171">
        <f t="shared" si="5"/>
        <v>80.727760276868082</v>
      </c>
      <c r="I111" s="169" t="s">
        <v>662</v>
      </c>
      <c r="J111" s="159" t="s">
        <v>649</v>
      </c>
      <c r="K111" s="71"/>
      <c r="L111" s="71"/>
    </row>
    <row r="112" spans="2:18" s="159" customFormat="1" x14ac:dyDescent="0.25">
      <c r="B112" s="96" t="s">
        <v>114</v>
      </c>
      <c r="C112" s="96" t="s">
        <v>57</v>
      </c>
      <c r="D112" s="170">
        <f>93.8/1000</f>
        <v>9.3799999999999994E-2</v>
      </c>
      <c r="E112" s="397">
        <f>8.33/1000000</f>
        <v>8.3299999999999999E-6</v>
      </c>
      <c r="F112" s="397">
        <f>1.73/1000</f>
        <v>1.73E-3</v>
      </c>
      <c r="G112" s="397">
        <f>175/1000000</f>
        <v>1.75E-4</v>
      </c>
      <c r="H112" s="171">
        <f t="shared" si="5"/>
        <v>149.69744999999998</v>
      </c>
      <c r="I112" s="169" t="s">
        <v>84</v>
      </c>
      <c r="J112" s="159" t="s">
        <v>115</v>
      </c>
      <c r="K112" s="71"/>
      <c r="L112" s="71"/>
    </row>
    <row r="113" spans="2:18" s="159" customFormat="1" x14ac:dyDescent="0.25">
      <c r="B113" s="96" t="s">
        <v>99</v>
      </c>
      <c r="C113" s="96" t="s">
        <v>57</v>
      </c>
      <c r="D113" s="170">
        <v>0.71886614346805466</v>
      </c>
      <c r="E113" s="397">
        <v>2.3568521582651309E-5</v>
      </c>
      <c r="F113" s="397">
        <v>1.7229307717794883E-5</v>
      </c>
      <c r="G113" s="397">
        <v>1.1394406063105138E-3</v>
      </c>
      <c r="H113" s="171">
        <f t="shared" si="5"/>
        <v>759.77744049287094</v>
      </c>
      <c r="I113" s="169" t="s">
        <v>84</v>
      </c>
      <c r="J113" s="159" t="s">
        <v>100</v>
      </c>
      <c r="K113" s="71"/>
      <c r="L113" s="71"/>
    </row>
    <row r="114" spans="2:18" s="159" customFormat="1" ht="15.75" x14ac:dyDescent="0.25">
      <c r="B114" s="389" t="s">
        <v>252</v>
      </c>
      <c r="C114" s="389"/>
      <c r="D114" s="389"/>
      <c r="E114" s="399"/>
      <c r="F114" s="399"/>
      <c r="G114" s="399"/>
      <c r="H114" s="389"/>
      <c r="I114" s="391"/>
      <c r="J114" s="389"/>
      <c r="K114" s="163"/>
      <c r="M114" s="71"/>
      <c r="N114" s="71"/>
    </row>
    <row r="115" spans="2:18" s="159" customFormat="1" x14ac:dyDescent="0.25">
      <c r="B115" s="96" t="s">
        <v>102</v>
      </c>
      <c r="C115" s="96" t="s">
        <v>169</v>
      </c>
      <c r="D115" s="170">
        <v>0.12020699999999999</v>
      </c>
      <c r="E115" s="397">
        <v>1.8228707E-6</v>
      </c>
      <c r="F115" s="397">
        <v>2.0969834999999999E-6</v>
      </c>
      <c r="G115" s="397">
        <v>5.7767815999999997E-11</v>
      </c>
      <c r="H115" s="171">
        <f>(D115+(E115*$D$9)+(F115*$D$8)+(G115*$D$7))*1000</f>
        <v>120.74877800653448</v>
      </c>
      <c r="I115" s="169" t="s">
        <v>84</v>
      </c>
      <c r="J115" s="71" t="s">
        <v>307</v>
      </c>
      <c r="M115" s="71"/>
    </row>
    <row r="116" spans="2:18" s="159" customFormat="1" x14ac:dyDescent="0.25">
      <c r="B116" s="96" t="s">
        <v>425</v>
      </c>
      <c r="C116" s="96" t="s">
        <v>1</v>
      </c>
      <c r="D116" s="170">
        <v>0.55302594999999999</v>
      </c>
      <c r="E116" s="397">
        <v>1.0735005999999999E-5</v>
      </c>
      <c r="F116" s="397">
        <v>9.2345760000000007E-6</v>
      </c>
      <c r="G116" s="397">
        <v>3.7140826000000002E-10</v>
      </c>
      <c r="H116" s="171">
        <f>(D116+(E116*$D$9)+(F116*$D$8)+(G116*$D$7))*1000</f>
        <v>556.12930586024777</v>
      </c>
      <c r="I116" s="169" t="s">
        <v>289</v>
      </c>
      <c r="J116" s="159" t="s">
        <v>308</v>
      </c>
      <c r="M116" s="71"/>
    </row>
    <row r="117" spans="2:18" s="159" customFormat="1" x14ac:dyDescent="0.25">
      <c r="B117" s="96" t="s">
        <v>426</v>
      </c>
      <c r="C117" s="96" t="s">
        <v>1</v>
      </c>
      <c r="D117" s="178"/>
      <c r="E117" s="398"/>
      <c r="F117" s="398"/>
      <c r="G117" s="398"/>
      <c r="H117" s="173">
        <v>986.89013439250016</v>
      </c>
      <c r="I117" s="169" t="s">
        <v>290</v>
      </c>
      <c r="J117" s="159" t="s">
        <v>288</v>
      </c>
      <c r="M117" s="71"/>
    </row>
    <row r="118" spans="2:18" s="159" customFormat="1" x14ac:dyDescent="0.25">
      <c r="B118" s="394" t="s">
        <v>186</v>
      </c>
      <c r="C118" s="394" t="s">
        <v>1</v>
      </c>
      <c r="D118" s="395"/>
      <c r="E118" s="400"/>
      <c r="F118" s="400"/>
      <c r="G118" s="400"/>
      <c r="H118" s="396">
        <f>(D118+(E118*$D$9)+(F118*$D$8)+(G118*$D$7))*1000</f>
        <v>0</v>
      </c>
      <c r="I118" s="169" t="s">
        <v>287</v>
      </c>
    </row>
    <row r="119" spans="2:18" s="159" customFormat="1" x14ac:dyDescent="0.25">
      <c r="B119" s="96" t="s">
        <v>95</v>
      </c>
      <c r="C119" s="96" t="s">
        <v>1</v>
      </c>
      <c r="D119" s="170">
        <v>0.63189465223483021</v>
      </c>
      <c r="E119" s="397">
        <v>1.0877841558803793E-5</v>
      </c>
      <c r="F119" s="397">
        <v>1.7636996664664968E-5</v>
      </c>
      <c r="G119" s="397">
        <v>1.9547826837420807E-3</v>
      </c>
      <c r="H119" s="171">
        <f>(D119+(E119*$D$9)+(F119*$D$8)+(G119*$D$7))*1000</f>
        <v>693.91459666678634</v>
      </c>
      <c r="I119" s="169" t="s">
        <v>84</v>
      </c>
      <c r="J119" s="159" t="s">
        <v>98</v>
      </c>
      <c r="M119" s="71"/>
      <c r="R119" s="70"/>
    </row>
    <row r="120" spans="2:18" s="159" customFormat="1" x14ac:dyDescent="0.25">
      <c r="B120" s="96" t="s">
        <v>188</v>
      </c>
      <c r="C120" s="96" t="s">
        <v>1</v>
      </c>
      <c r="D120" s="170">
        <v>0.76136375999999995</v>
      </c>
      <c r="E120" s="397">
        <v>1.1447172E-5</v>
      </c>
      <c r="F120" s="397">
        <v>1.0571434999999999E-5</v>
      </c>
      <c r="G120" s="397">
        <v>2.4931697025600899E-3</v>
      </c>
      <c r="H120" s="171">
        <f>(D120+(E120*$D$9)+(F120*$D$8)+(G120*$D$7))*1000</f>
        <v>839.48835183680262</v>
      </c>
      <c r="I120" s="169" t="s">
        <v>662</v>
      </c>
      <c r="J120" s="159" t="s">
        <v>652</v>
      </c>
    </row>
    <row r="121" spans="2:18" s="159" customFormat="1" x14ac:dyDescent="0.25">
      <c r="B121" s="96" t="s">
        <v>45</v>
      </c>
      <c r="C121" s="96" t="s">
        <v>1</v>
      </c>
      <c r="D121" s="178"/>
      <c r="E121" s="398"/>
      <c r="F121" s="398"/>
      <c r="G121" s="398"/>
      <c r="H121" s="173">
        <v>547.12038383828497</v>
      </c>
      <c r="I121" s="297" t="s">
        <v>277</v>
      </c>
    </row>
    <row r="122" spans="2:18" s="159" customFormat="1" x14ac:dyDescent="0.25">
      <c r="B122" s="96" t="s">
        <v>46</v>
      </c>
      <c r="C122" s="96" t="s">
        <v>1</v>
      </c>
      <c r="D122" s="178"/>
      <c r="E122" s="398"/>
      <c r="F122" s="398"/>
      <c r="G122" s="398"/>
      <c r="H122" s="173"/>
      <c r="I122" s="297" t="s">
        <v>277</v>
      </c>
    </row>
    <row r="123" spans="2:18" s="159" customFormat="1" x14ac:dyDescent="0.25">
      <c r="B123" s="96" t="s">
        <v>106</v>
      </c>
      <c r="C123" s="96" t="s">
        <v>1</v>
      </c>
      <c r="D123" s="170">
        <v>3.2039432480895129E-2</v>
      </c>
      <c r="E123" s="397">
        <v>1.4039664897291242E-6</v>
      </c>
      <c r="F123" s="397">
        <v>2.18166665424795E-6</v>
      </c>
      <c r="G123" s="397">
        <v>5.8032504083343049E-5</v>
      </c>
      <c r="H123" s="171">
        <f>(D123+(E123*$D$9)+(F123*$D$8)+(G123*$D$7))*1000</f>
        <v>34.21354538949258</v>
      </c>
      <c r="I123" s="169" t="s">
        <v>89</v>
      </c>
      <c r="J123" s="159" t="s">
        <v>135</v>
      </c>
    </row>
    <row r="124" spans="2:18" s="159" customFormat="1" x14ac:dyDescent="0.25">
      <c r="B124" s="96" t="s">
        <v>347</v>
      </c>
      <c r="C124" s="96" t="s">
        <v>1</v>
      </c>
      <c r="D124" s="178">
        <v>3.2039432480895129E-2</v>
      </c>
      <c r="E124" s="398">
        <v>1.4039664897291242E-6</v>
      </c>
      <c r="F124" s="398">
        <v>2.18166665424795E-6</v>
      </c>
      <c r="G124" s="398">
        <v>5.8032504083343049E-5</v>
      </c>
      <c r="H124" s="171">
        <f>(D124+(E124*$D$9)+(F124*$D$8)+(G124*$D$7))*1000</f>
        <v>34.21354538949258</v>
      </c>
      <c r="I124" s="169" t="s">
        <v>89</v>
      </c>
      <c r="J124" s="159" t="s">
        <v>135</v>
      </c>
    </row>
    <row r="125" spans="2:18" s="159" customFormat="1" x14ac:dyDescent="0.25">
      <c r="B125" s="96" t="s">
        <v>262</v>
      </c>
      <c r="C125" s="96" t="s">
        <v>29</v>
      </c>
      <c r="D125" s="178"/>
      <c r="E125" s="398"/>
      <c r="F125" s="398"/>
      <c r="G125" s="398"/>
      <c r="H125" s="171">
        <v>7.5</v>
      </c>
      <c r="I125" s="169" t="s">
        <v>277</v>
      </c>
    </row>
    <row r="126" spans="2:18" s="159" customFormat="1" x14ac:dyDescent="0.25">
      <c r="B126" s="96" t="s">
        <v>845</v>
      </c>
      <c r="C126" s="96" t="s">
        <v>1</v>
      </c>
      <c r="D126" s="178">
        <v>0.55302594999999999</v>
      </c>
      <c r="E126" s="398">
        <v>1.0735005999999999E-5</v>
      </c>
      <c r="F126" s="398">
        <v>9.2345760000000007E-6</v>
      </c>
      <c r="G126" s="398">
        <v>3.7140826000000002E-10</v>
      </c>
      <c r="H126" s="171">
        <f>(D126+(E126*$D$9)+(F126*$D$8)+(G126*$D$7))*1000</f>
        <v>556.12930586024777</v>
      </c>
      <c r="I126" s="169" t="s">
        <v>289</v>
      </c>
      <c r="J126" s="159" t="s">
        <v>308</v>
      </c>
    </row>
    <row r="127" spans="2:18" s="159" customFormat="1" x14ac:dyDescent="0.25">
      <c r="B127" s="96" t="s">
        <v>183</v>
      </c>
      <c r="C127" s="96" t="s">
        <v>29</v>
      </c>
      <c r="D127" s="178"/>
      <c r="E127" s="398"/>
      <c r="F127" s="398"/>
      <c r="G127" s="398"/>
      <c r="H127" s="173">
        <v>93.983599999999996</v>
      </c>
      <c r="I127" s="169" t="s">
        <v>89</v>
      </c>
      <c r="J127" s="159" t="s">
        <v>104</v>
      </c>
    </row>
    <row r="128" spans="2:18" s="159" customFormat="1" ht="15.75" x14ac:dyDescent="0.25">
      <c r="B128" s="389" t="s">
        <v>170</v>
      </c>
      <c r="C128" s="389"/>
      <c r="D128" s="389"/>
      <c r="E128" s="399"/>
      <c r="F128" s="399"/>
      <c r="G128" s="399"/>
      <c r="H128" s="389"/>
      <c r="I128" s="391"/>
      <c r="J128" s="389"/>
    </row>
    <row r="129" spans="1:22" s="159" customFormat="1" x14ac:dyDescent="0.25">
      <c r="B129" s="96" t="s">
        <v>206</v>
      </c>
      <c r="C129" s="96" t="s">
        <v>47</v>
      </c>
      <c r="D129" s="170">
        <v>0.22625397202732001</v>
      </c>
      <c r="E129" s="397">
        <v>1.0446082640615269E-5</v>
      </c>
      <c r="F129" s="397">
        <v>9.590935909830587E-7</v>
      </c>
      <c r="G129" s="397">
        <v>2.4945373127764219E-4</v>
      </c>
      <c r="H129" s="171">
        <f>(D129+(E129*$D$9)+(F129*$D$8)+(G129*$D$7))*1000</f>
        <v>236.53265048595983</v>
      </c>
      <c r="I129" s="169" t="s">
        <v>89</v>
      </c>
      <c r="J129" s="71" t="s">
        <v>211</v>
      </c>
      <c r="K129" s="163"/>
      <c r="N129" s="71"/>
      <c r="V129" s="168"/>
    </row>
    <row r="130" spans="1:22" s="159" customFormat="1" x14ac:dyDescent="0.25">
      <c r="B130" s="96" t="s">
        <v>208</v>
      </c>
      <c r="C130" s="96" t="s">
        <v>47</v>
      </c>
      <c r="D130" s="170">
        <v>0.17599043715055801</v>
      </c>
      <c r="E130" s="397">
        <v>6.1974612135689929E-6</v>
      </c>
      <c r="F130" s="397">
        <v>6.7839375380078499E-7</v>
      </c>
      <c r="G130" s="397">
        <v>2.0393876230481527E-4</v>
      </c>
      <c r="H130" s="171">
        <f>(D130+(E130*$D$9)+(F130*$D$8)+(G130*$D$7))*1000</f>
        <v>183.76992226640468</v>
      </c>
      <c r="I130" s="169" t="s">
        <v>89</v>
      </c>
      <c r="J130" s="71" t="s">
        <v>212</v>
      </c>
      <c r="K130" s="163"/>
      <c r="N130" s="71"/>
      <c r="V130" s="168"/>
    </row>
    <row r="131" spans="1:22" s="159" customFormat="1" x14ac:dyDescent="0.25">
      <c r="B131" s="96" t="s">
        <v>207</v>
      </c>
      <c r="C131" s="96" t="s">
        <v>47</v>
      </c>
      <c r="D131" s="170">
        <v>0.115015737672319</v>
      </c>
      <c r="E131" s="397">
        <v>3.2911580639616445E-6</v>
      </c>
      <c r="F131" s="397">
        <v>4.4637468778886174E-7</v>
      </c>
      <c r="G131" s="397">
        <v>1.3948610969341806E-4</v>
      </c>
      <c r="H131" s="171">
        <f>(D131+(E131*$D$9)+(F131*$D$8)+(G131*$D$7))*1000</f>
        <v>120.08497634132947</v>
      </c>
      <c r="I131" s="169" t="s">
        <v>89</v>
      </c>
      <c r="J131" s="71" t="s">
        <v>213</v>
      </c>
      <c r="K131" s="163"/>
      <c r="N131" s="71"/>
    </row>
    <row r="132" spans="1:22" s="159" customFormat="1" x14ac:dyDescent="0.25">
      <c r="B132" s="96" t="s">
        <v>315</v>
      </c>
      <c r="C132" s="96" t="s">
        <v>47</v>
      </c>
      <c r="D132" s="178"/>
      <c r="E132" s="398"/>
      <c r="F132" s="398"/>
      <c r="G132" s="398"/>
      <c r="H132" s="165">
        <f>G143</f>
        <v>72.59035723819153</v>
      </c>
      <c r="I132" s="169" t="s">
        <v>316</v>
      </c>
      <c r="J132" s="162"/>
      <c r="L132" s="71"/>
      <c r="N132" s="71"/>
    </row>
    <row r="133" spans="1:22" s="159" customFormat="1" x14ac:dyDescent="0.25">
      <c r="B133" s="96" t="s">
        <v>321</v>
      </c>
      <c r="C133" s="96" t="s">
        <v>47</v>
      </c>
      <c r="D133" s="178"/>
      <c r="E133" s="398"/>
      <c r="F133" s="398"/>
      <c r="G133" s="398"/>
      <c r="H133" s="173">
        <v>6.1318000000000001</v>
      </c>
      <c r="I133" s="169" t="s">
        <v>89</v>
      </c>
      <c r="J133" s="159" t="s">
        <v>96</v>
      </c>
      <c r="M133" s="71"/>
      <c r="N133" s="71"/>
    </row>
    <row r="134" spans="1:22" s="159" customFormat="1" x14ac:dyDescent="0.25">
      <c r="B134" s="96" t="s">
        <v>322</v>
      </c>
      <c r="C134" s="96" t="s">
        <v>47</v>
      </c>
      <c r="D134" s="178"/>
      <c r="E134" s="398"/>
      <c r="F134" s="398"/>
      <c r="G134" s="398"/>
      <c r="H134" s="173">
        <v>48.605499999999999</v>
      </c>
      <c r="I134" s="169" t="s">
        <v>89</v>
      </c>
      <c r="J134" s="159" t="s">
        <v>97</v>
      </c>
      <c r="M134" s="71"/>
      <c r="N134" s="71"/>
    </row>
    <row r="135" spans="1:22" s="159" customFormat="1" x14ac:dyDescent="0.25">
      <c r="B135" s="96" t="s">
        <v>317</v>
      </c>
      <c r="C135" s="96" t="s">
        <v>47</v>
      </c>
      <c r="D135" s="178"/>
      <c r="E135" s="398"/>
      <c r="F135" s="398"/>
      <c r="G135" s="398"/>
      <c r="H135" s="165">
        <f>G145</f>
        <v>39.62840930860456</v>
      </c>
      <c r="I135" s="392"/>
      <c r="J135" s="162"/>
      <c r="K135" s="163"/>
      <c r="M135" s="71"/>
      <c r="N135" s="71"/>
    </row>
    <row r="136" spans="1:22" s="159" customFormat="1" x14ac:dyDescent="0.25">
      <c r="B136" s="96" t="s">
        <v>331</v>
      </c>
      <c r="C136" s="96" t="s">
        <v>47</v>
      </c>
      <c r="D136" s="178"/>
      <c r="E136" s="398"/>
      <c r="F136" s="398"/>
      <c r="G136" s="398"/>
      <c r="H136" s="165">
        <f>G144</f>
        <v>2.7666634280629054</v>
      </c>
      <c r="I136" s="392"/>
      <c r="J136" s="162"/>
      <c r="K136" s="163"/>
      <c r="M136" s="71"/>
      <c r="N136" s="71"/>
    </row>
    <row r="137" spans="1:22" s="159" customFormat="1" x14ac:dyDescent="0.25">
      <c r="B137" s="96" t="s">
        <v>323</v>
      </c>
      <c r="C137" s="96" t="s">
        <v>47</v>
      </c>
      <c r="D137" s="178"/>
      <c r="E137" s="398"/>
      <c r="F137" s="398"/>
      <c r="G137" s="398"/>
      <c r="H137" s="165">
        <f>G146</f>
        <v>14.390054452799999</v>
      </c>
      <c r="I137" s="392"/>
      <c r="J137" s="162"/>
      <c r="K137" s="163"/>
      <c r="M137" s="71"/>
      <c r="N137" s="71"/>
    </row>
    <row r="138" spans="1:22" x14ac:dyDescent="0.25">
      <c r="A138" s="159"/>
      <c r="C138" s="70"/>
      <c r="F138" s="159"/>
      <c r="G138" s="159"/>
      <c r="H138" s="159"/>
      <c r="I138" s="169"/>
      <c r="L138" s="159"/>
      <c r="M138" s="159"/>
      <c r="N138" s="159"/>
    </row>
    <row r="139" spans="1:22" x14ac:dyDescent="0.25">
      <c r="A139" s="159"/>
      <c r="C139" s="70"/>
      <c r="F139" s="159"/>
      <c r="G139" s="159"/>
      <c r="H139" s="159"/>
      <c r="I139" s="169"/>
      <c r="L139" s="159"/>
      <c r="M139" s="159"/>
      <c r="N139" s="159"/>
    </row>
    <row r="140" spans="1:22" x14ac:dyDescent="0.25">
      <c r="A140" s="159"/>
      <c r="B140" s="425" t="s">
        <v>892</v>
      </c>
      <c r="N140" s="71"/>
    </row>
    <row r="141" spans="1:22" ht="45" x14ac:dyDescent="0.25">
      <c r="A141" s="159"/>
      <c r="B141" s="414" t="s">
        <v>170</v>
      </c>
      <c r="C141" s="401"/>
      <c r="D141" s="401" t="s">
        <v>725</v>
      </c>
      <c r="E141" s="401" t="s">
        <v>731</v>
      </c>
      <c r="F141" s="401" t="s">
        <v>313</v>
      </c>
      <c r="G141" s="401" t="s">
        <v>314</v>
      </c>
    </row>
    <row r="142" spans="1:22" x14ac:dyDescent="0.25">
      <c r="A142" s="159"/>
      <c r="B142" s="419"/>
      <c r="C142" s="419"/>
      <c r="D142" s="419" t="s">
        <v>314</v>
      </c>
      <c r="E142" s="419" t="s">
        <v>314</v>
      </c>
      <c r="F142" s="419" t="s">
        <v>314</v>
      </c>
      <c r="G142" s="419" t="s">
        <v>314</v>
      </c>
    </row>
    <row r="143" spans="1:22" x14ac:dyDescent="0.25">
      <c r="A143" s="159"/>
      <c r="B143" s="405" t="s">
        <v>312</v>
      </c>
      <c r="C143" s="418" t="s">
        <v>47</v>
      </c>
      <c r="D143" s="404">
        <f>0.0196*$H$116</f>
        <v>10.900134394860856</v>
      </c>
      <c r="E143" s="404">
        <f>(0.0196*$F$26*'FE''s queima combustíveis'!$I$5)</f>
        <v>61.690222843330666</v>
      </c>
      <c r="F143" s="404">
        <v>0</v>
      </c>
      <c r="G143" s="420">
        <f>SUM(D143:F143)</f>
        <v>72.59035723819153</v>
      </c>
    </row>
    <row r="144" spans="1:22" x14ac:dyDescent="0.25">
      <c r="A144" s="71"/>
      <c r="B144" s="405" t="s">
        <v>333</v>
      </c>
      <c r="C144" s="418" t="s">
        <v>47</v>
      </c>
      <c r="D144" s="404">
        <f>0.000139650451744186*$H$116</f>
        <v>7.7663708791564187E-2</v>
      </c>
      <c r="E144" s="404">
        <f>(0.000139650451744186*$F$26*'FE''s queima combustíveis'!$I$5)</f>
        <v>0.43954425960564442</v>
      </c>
      <c r="F144" s="404">
        <f>0.0154281734496124*$H$107</f>
        <v>2.2494554596656968</v>
      </c>
      <c r="G144" s="420">
        <f>SUM(D144:F144)</f>
        <v>2.7666634280629054</v>
      </c>
    </row>
    <row r="145" spans="1:14" x14ac:dyDescent="0.25">
      <c r="A145" s="71"/>
      <c r="B145" s="405" t="s">
        <v>311</v>
      </c>
      <c r="C145" s="418" t="s">
        <v>47</v>
      </c>
      <c r="D145" s="404">
        <f>0.0107*$H$116</f>
        <v>5.9505835727046508</v>
      </c>
      <c r="E145" s="404">
        <f>(0.0107*$F$26*'FE''s queima combustíveis'!$I$5)</f>
        <v>33.677825735899908</v>
      </c>
      <c r="F145" s="404">
        <v>0</v>
      </c>
      <c r="G145" s="420">
        <f>SUM(D145:F145)</f>
        <v>39.62840930860456</v>
      </c>
    </row>
    <row r="146" spans="1:14" x14ac:dyDescent="0.25">
      <c r="A146" s="71"/>
      <c r="B146" s="405" t="s">
        <v>332</v>
      </c>
      <c r="C146" s="418" t="s">
        <v>47</v>
      </c>
      <c r="D146" s="404">
        <v>0</v>
      </c>
      <c r="E146" s="404">
        <v>0</v>
      </c>
      <c r="F146" s="404">
        <f>0.098696*$H$107</f>
        <v>14.390054452799999</v>
      </c>
      <c r="G146" s="420">
        <f>SUM(D146:F146)</f>
        <v>14.390054452799999</v>
      </c>
      <c r="N146" s="71"/>
    </row>
    <row r="147" spans="1:14" x14ac:dyDescent="0.25">
      <c r="A147" s="71"/>
      <c r="B147" s="405" t="s">
        <v>909</v>
      </c>
      <c r="C147" s="418" t="s">
        <v>47</v>
      </c>
      <c r="D147" s="404"/>
      <c r="E147" s="404"/>
      <c r="F147" s="404"/>
      <c r="G147" s="420">
        <f>H134</f>
        <v>48.605499999999999</v>
      </c>
      <c r="H147" s="70" t="s">
        <v>910</v>
      </c>
      <c r="N147" s="71"/>
    </row>
    <row r="148" spans="1:14" x14ac:dyDescent="0.25">
      <c r="A148" s="71"/>
      <c r="C148" s="70"/>
      <c r="N148" s="71"/>
    </row>
    <row r="149" spans="1:14" x14ac:dyDescent="0.25">
      <c r="A149" s="71"/>
      <c r="C149" s="70"/>
      <c r="N149" s="71"/>
    </row>
    <row r="150" spans="1:14" x14ac:dyDescent="0.25">
      <c r="A150" s="71"/>
      <c r="B150" s="425" t="s">
        <v>893</v>
      </c>
      <c r="C150" s="70"/>
      <c r="N150" s="71"/>
    </row>
    <row r="151" spans="1:14" x14ac:dyDescent="0.25">
      <c r="A151" s="71"/>
      <c r="B151" s="540" t="s">
        <v>858</v>
      </c>
      <c r="C151" s="541" t="s">
        <v>278</v>
      </c>
      <c r="D151" s="754" t="s">
        <v>714</v>
      </c>
      <c r="E151" s="754"/>
      <c r="F151" s="754" t="s">
        <v>894</v>
      </c>
      <c r="G151" s="754"/>
      <c r="H151" s="754" t="s">
        <v>895</v>
      </c>
      <c r="I151" s="754"/>
      <c r="J151" s="754"/>
      <c r="K151" s="754" t="s">
        <v>896</v>
      </c>
      <c r="L151" s="754"/>
      <c r="N151" s="71"/>
    </row>
    <row r="152" spans="1:14" x14ac:dyDescent="0.25">
      <c r="A152" s="71"/>
      <c r="B152" s="419"/>
      <c r="C152" s="419" t="s">
        <v>278</v>
      </c>
      <c r="D152" s="419" t="s">
        <v>714</v>
      </c>
      <c r="E152" s="419" t="s">
        <v>278</v>
      </c>
      <c r="F152" s="419" t="s">
        <v>894</v>
      </c>
      <c r="G152" s="419" t="s">
        <v>278</v>
      </c>
      <c r="H152" s="419" t="s">
        <v>278</v>
      </c>
      <c r="I152" s="419" t="s">
        <v>894</v>
      </c>
      <c r="J152" s="419" t="s">
        <v>895</v>
      </c>
      <c r="K152" s="419" t="s">
        <v>278</v>
      </c>
      <c r="L152" s="419" t="s">
        <v>896</v>
      </c>
      <c r="N152" s="71"/>
    </row>
    <row r="153" spans="1:14" x14ac:dyDescent="0.25">
      <c r="A153" s="71"/>
      <c r="B153" s="405" t="s">
        <v>899</v>
      </c>
      <c r="C153" s="622">
        <v>700</v>
      </c>
      <c r="D153" s="622">
        <v>500</v>
      </c>
      <c r="E153" s="622">
        <v>200</v>
      </c>
      <c r="F153" s="622">
        <v>300</v>
      </c>
      <c r="G153" s="622">
        <v>400</v>
      </c>
      <c r="H153" s="622" t="s">
        <v>5</v>
      </c>
      <c r="I153" s="622" t="s">
        <v>902</v>
      </c>
      <c r="J153" s="622" t="s">
        <v>903</v>
      </c>
      <c r="K153" s="622" t="s">
        <v>5</v>
      </c>
      <c r="L153" s="622" t="s">
        <v>5</v>
      </c>
      <c r="N153" s="71"/>
    </row>
    <row r="154" spans="1:14" x14ac:dyDescent="0.25">
      <c r="A154" s="71"/>
      <c r="B154" s="405" t="s">
        <v>776</v>
      </c>
      <c r="C154" s="622">
        <v>700</v>
      </c>
      <c r="D154" s="622">
        <v>500</v>
      </c>
      <c r="E154" s="622">
        <v>200</v>
      </c>
      <c r="F154" s="622">
        <v>300</v>
      </c>
      <c r="G154" s="622">
        <v>400</v>
      </c>
      <c r="H154" s="622" t="s">
        <v>5</v>
      </c>
      <c r="I154" s="622" t="s">
        <v>902</v>
      </c>
      <c r="J154" s="622" t="s">
        <v>903</v>
      </c>
      <c r="K154" s="622" t="s">
        <v>5</v>
      </c>
      <c r="L154" s="622" t="s">
        <v>5</v>
      </c>
      <c r="N154" s="71"/>
    </row>
    <row r="155" spans="1:14" x14ac:dyDescent="0.25">
      <c r="A155" s="71"/>
      <c r="B155" s="405" t="s">
        <v>897</v>
      </c>
      <c r="C155" s="622">
        <v>700</v>
      </c>
      <c r="D155" s="622">
        <v>500</v>
      </c>
      <c r="E155" s="622">
        <v>200</v>
      </c>
      <c r="F155" s="622">
        <v>300</v>
      </c>
      <c r="G155" s="622">
        <v>400</v>
      </c>
      <c r="H155" s="622" t="s">
        <v>5</v>
      </c>
      <c r="I155" s="622" t="s">
        <v>902</v>
      </c>
      <c r="J155" s="622" t="s">
        <v>903</v>
      </c>
      <c r="K155" s="622" t="s">
        <v>5</v>
      </c>
      <c r="L155" s="622" t="s">
        <v>5</v>
      </c>
      <c r="N155" s="71"/>
    </row>
    <row r="156" spans="1:14" x14ac:dyDescent="0.25">
      <c r="A156" s="71"/>
      <c r="B156" s="405" t="s">
        <v>777</v>
      </c>
      <c r="C156" s="622">
        <v>700</v>
      </c>
      <c r="D156" s="622">
        <v>500</v>
      </c>
      <c r="E156" s="622">
        <v>200</v>
      </c>
      <c r="F156" s="622">
        <v>300</v>
      </c>
      <c r="G156" s="622">
        <v>400</v>
      </c>
      <c r="H156" s="622" t="s">
        <v>5</v>
      </c>
      <c r="I156" s="622" t="s">
        <v>902</v>
      </c>
      <c r="J156" s="622" t="s">
        <v>903</v>
      </c>
      <c r="K156" s="622" t="s">
        <v>5</v>
      </c>
      <c r="L156" s="622" t="s">
        <v>5</v>
      </c>
      <c r="N156" s="71"/>
    </row>
    <row r="157" spans="1:14" x14ac:dyDescent="0.25">
      <c r="A157" s="71"/>
      <c r="B157" s="405" t="s">
        <v>898</v>
      </c>
      <c r="C157" s="622">
        <v>700</v>
      </c>
      <c r="D157" s="622" t="s">
        <v>5</v>
      </c>
      <c r="E157" s="622" t="s">
        <v>5</v>
      </c>
      <c r="F157" s="622" t="s">
        <v>5</v>
      </c>
      <c r="G157" s="622" t="s">
        <v>5</v>
      </c>
      <c r="H157" s="622" t="s">
        <v>5</v>
      </c>
      <c r="I157" s="622" t="s">
        <v>902</v>
      </c>
      <c r="J157" s="622" t="s">
        <v>903</v>
      </c>
      <c r="K157" s="622">
        <v>1300</v>
      </c>
      <c r="L157" s="622">
        <v>1240</v>
      </c>
      <c r="N157" s="71"/>
    </row>
    <row r="158" spans="1:14" x14ac:dyDescent="0.25">
      <c r="A158" s="71"/>
      <c r="B158" s="405" t="s">
        <v>900</v>
      </c>
      <c r="C158" s="622" t="s">
        <v>5</v>
      </c>
      <c r="D158" s="622" t="s">
        <v>5</v>
      </c>
      <c r="E158" s="622" t="s">
        <v>5</v>
      </c>
      <c r="F158" s="622" t="s">
        <v>5</v>
      </c>
      <c r="G158" s="622" t="s">
        <v>5</v>
      </c>
      <c r="H158" s="622">
        <v>600</v>
      </c>
      <c r="I158" s="622">
        <v>1400</v>
      </c>
      <c r="J158" s="622">
        <v>13000</v>
      </c>
      <c r="K158" s="622" t="s">
        <v>5</v>
      </c>
      <c r="L158" s="622" t="s">
        <v>5</v>
      </c>
      <c r="N158" s="71"/>
    </row>
    <row r="159" spans="1:14" x14ac:dyDescent="0.25">
      <c r="A159" s="71"/>
      <c r="B159" s="405" t="s">
        <v>123</v>
      </c>
      <c r="C159" s="622">
        <v>700</v>
      </c>
      <c r="D159" s="622" t="s">
        <v>5</v>
      </c>
      <c r="E159" s="622" t="s">
        <v>5</v>
      </c>
      <c r="F159" s="622">
        <v>1200</v>
      </c>
      <c r="G159" s="622">
        <v>300</v>
      </c>
      <c r="H159" s="622" t="s">
        <v>5</v>
      </c>
      <c r="I159" s="622" t="s">
        <v>902</v>
      </c>
      <c r="J159" s="622" t="s">
        <v>903</v>
      </c>
      <c r="K159" s="622">
        <v>1300</v>
      </c>
      <c r="L159" s="622">
        <v>1240</v>
      </c>
      <c r="N159" s="71"/>
    </row>
    <row r="160" spans="1:14" x14ac:dyDescent="0.25">
      <c r="A160" s="71"/>
      <c r="B160" s="405" t="s">
        <v>901</v>
      </c>
      <c r="C160" s="622">
        <v>1500</v>
      </c>
      <c r="D160" s="622">
        <v>900</v>
      </c>
      <c r="E160" s="622">
        <v>600</v>
      </c>
      <c r="F160" s="622">
        <v>900</v>
      </c>
      <c r="G160" s="622">
        <v>600</v>
      </c>
      <c r="H160" s="622" t="s">
        <v>5</v>
      </c>
      <c r="I160" s="622" t="s">
        <v>902</v>
      </c>
      <c r="J160" s="622" t="s">
        <v>903</v>
      </c>
      <c r="K160" s="622" t="s">
        <v>5</v>
      </c>
      <c r="L160" s="622" t="s">
        <v>5</v>
      </c>
      <c r="N160" s="71"/>
    </row>
    <row r="161" spans="1:14" x14ac:dyDescent="0.25">
      <c r="A161" s="71"/>
      <c r="B161" s="405" t="s">
        <v>262</v>
      </c>
      <c r="C161" s="622">
        <v>43</v>
      </c>
      <c r="D161" s="622">
        <v>24</v>
      </c>
      <c r="E161" s="622" t="s">
        <v>5</v>
      </c>
      <c r="F161" s="622" t="s">
        <v>902</v>
      </c>
      <c r="G161" s="622" t="s">
        <v>903</v>
      </c>
      <c r="H161" s="622" t="s">
        <v>5</v>
      </c>
      <c r="I161" s="622" t="s">
        <v>902</v>
      </c>
      <c r="J161" s="622" t="s">
        <v>903</v>
      </c>
      <c r="K161" s="622" t="s">
        <v>5</v>
      </c>
      <c r="L161" s="622" t="s">
        <v>5</v>
      </c>
      <c r="N161" s="71"/>
    </row>
    <row r="162" spans="1:14" s="71" customFormat="1" x14ac:dyDescent="0.25">
      <c r="B162" s="543"/>
      <c r="C162" s="544"/>
      <c r="D162" s="544"/>
      <c r="E162" s="544"/>
      <c r="F162" s="544"/>
      <c r="G162" s="544"/>
      <c r="H162" s="544"/>
      <c r="I162" s="544"/>
      <c r="J162" s="544"/>
      <c r="K162" s="544"/>
      <c r="L162" s="544"/>
    </row>
    <row r="163" spans="1:14" x14ac:dyDescent="0.25">
      <c r="A163" s="71"/>
      <c r="C163" s="70"/>
      <c r="N163" s="71"/>
    </row>
    <row r="164" spans="1:14" x14ac:dyDescent="0.25">
      <c r="A164" s="71"/>
      <c r="B164" s="425" t="s">
        <v>916</v>
      </c>
      <c r="N164" s="71"/>
    </row>
    <row r="165" spans="1:14" ht="39" customHeight="1" x14ac:dyDescent="0.25">
      <c r="A165" s="71"/>
      <c r="B165" s="536" t="s">
        <v>858</v>
      </c>
      <c r="C165" s="756" t="s">
        <v>859</v>
      </c>
      <c r="D165" s="756"/>
      <c r="E165" s="756"/>
      <c r="F165" s="754" t="s">
        <v>860</v>
      </c>
      <c r="G165" s="754"/>
      <c r="H165" s="754"/>
      <c r="N165" s="71"/>
    </row>
    <row r="166" spans="1:14" x14ac:dyDescent="0.25">
      <c r="A166" s="71"/>
      <c r="B166" s="487" t="s">
        <v>45</v>
      </c>
      <c r="C166" s="755" t="s">
        <v>188</v>
      </c>
      <c r="D166" s="755"/>
      <c r="E166" s="755"/>
      <c r="F166" s="755">
        <v>87.4</v>
      </c>
      <c r="G166" s="755"/>
      <c r="H166" s="755"/>
      <c r="N166" s="71"/>
    </row>
    <row r="167" spans="1:14" x14ac:dyDescent="0.25">
      <c r="A167" s="71"/>
      <c r="B167" s="487" t="s">
        <v>46</v>
      </c>
      <c r="C167" s="755" t="s">
        <v>188</v>
      </c>
      <c r="D167" s="755"/>
      <c r="E167" s="755"/>
      <c r="F167" s="755">
        <v>87.4</v>
      </c>
      <c r="G167" s="755"/>
      <c r="H167" s="755"/>
      <c r="N167" s="71"/>
    </row>
    <row r="168" spans="1:14" x14ac:dyDescent="0.25">
      <c r="A168" s="71"/>
      <c r="B168" s="487" t="s">
        <v>123</v>
      </c>
      <c r="C168" s="755" t="s">
        <v>967</v>
      </c>
      <c r="D168" s="755"/>
      <c r="E168" s="755"/>
      <c r="F168" s="755">
        <v>86.5</v>
      </c>
      <c r="G168" s="755"/>
      <c r="H168" s="755"/>
      <c r="N168" s="71"/>
    </row>
    <row r="169" spans="1:14" x14ac:dyDescent="0.25">
      <c r="A169" s="71"/>
      <c r="B169" s="487" t="s">
        <v>262</v>
      </c>
      <c r="C169" s="755" t="s">
        <v>969</v>
      </c>
      <c r="D169" s="755"/>
      <c r="E169" s="755"/>
      <c r="F169" s="755">
        <v>86.7</v>
      </c>
      <c r="G169" s="755"/>
      <c r="H169" s="755"/>
      <c r="N169" s="71"/>
    </row>
    <row r="170" spans="1:14" x14ac:dyDescent="0.25">
      <c r="A170" s="71"/>
      <c r="B170" s="487" t="s">
        <v>861</v>
      </c>
      <c r="C170" s="755" t="s">
        <v>485</v>
      </c>
      <c r="D170" s="755"/>
      <c r="E170" s="755"/>
      <c r="F170" s="755">
        <v>87.5</v>
      </c>
      <c r="G170" s="755"/>
      <c r="H170" s="755"/>
      <c r="N170" s="71"/>
    </row>
    <row r="171" spans="1:14" x14ac:dyDescent="0.25">
      <c r="A171" s="71"/>
      <c r="B171" s="487" t="s">
        <v>958</v>
      </c>
      <c r="C171" s="755" t="s">
        <v>188</v>
      </c>
      <c r="D171" s="755"/>
      <c r="E171" s="755"/>
      <c r="F171" s="755">
        <v>87.4</v>
      </c>
      <c r="G171" s="755"/>
      <c r="H171" s="755"/>
      <c r="N171" s="71"/>
    </row>
    <row r="172" spans="1:14" x14ac:dyDescent="0.25">
      <c r="A172" s="71"/>
      <c r="B172" s="487" t="s">
        <v>959</v>
      </c>
      <c r="C172" s="755" t="s">
        <v>967</v>
      </c>
      <c r="D172" s="755"/>
      <c r="E172" s="755"/>
      <c r="F172" s="755">
        <v>86.5</v>
      </c>
      <c r="G172" s="755"/>
      <c r="H172" s="755"/>
      <c r="N172" s="71"/>
    </row>
    <row r="173" spans="1:14" x14ac:dyDescent="0.25">
      <c r="A173" s="71"/>
      <c r="B173" s="487" t="s">
        <v>968</v>
      </c>
      <c r="C173" s="755" t="s">
        <v>95</v>
      </c>
      <c r="D173" s="755"/>
      <c r="E173" s="755"/>
      <c r="F173" s="755">
        <v>85</v>
      </c>
      <c r="G173" s="755"/>
      <c r="H173" s="755"/>
      <c r="N173" s="71"/>
    </row>
    <row r="174" spans="1:14" x14ac:dyDescent="0.25">
      <c r="A174" s="71"/>
      <c r="C174"/>
      <c r="D174"/>
      <c r="E174"/>
      <c r="F174"/>
      <c r="G174"/>
      <c r="H174"/>
      <c r="N174" s="71"/>
    </row>
    <row r="175" spans="1:14" x14ac:dyDescent="0.25">
      <c r="A175" s="71"/>
      <c r="N175" s="71"/>
    </row>
    <row r="176" spans="1:14" x14ac:dyDescent="0.25">
      <c r="A176" s="71"/>
      <c r="N176" s="71"/>
    </row>
    <row r="177" spans="1:15" x14ac:dyDescent="0.25">
      <c r="A177" s="71"/>
      <c r="N177" s="71"/>
    </row>
    <row r="178" spans="1:15" x14ac:dyDescent="0.25">
      <c r="A178" s="71"/>
      <c r="N178" s="71"/>
    </row>
    <row r="179" spans="1:15" x14ac:dyDescent="0.25">
      <c r="A179" s="71"/>
      <c r="N179" s="71"/>
    </row>
    <row r="180" spans="1:15" x14ac:dyDescent="0.25">
      <c r="A180" s="71"/>
      <c r="O180" s="71"/>
    </row>
    <row r="181" spans="1:15" x14ac:dyDescent="0.25">
      <c r="A181" s="71"/>
      <c r="O181" s="71"/>
    </row>
    <row r="182" spans="1:15" x14ac:dyDescent="0.25">
      <c r="A182" s="71"/>
      <c r="O182" s="71"/>
    </row>
    <row r="183" spans="1:15" x14ac:dyDescent="0.25">
      <c r="A183" s="71"/>
      <c r="O183" s="71"/>
    </row>
    <row r="184" spans="1:15" x14ac:dyDescent="0.25">
      <c r="A184" s="71"/>
      <c r="O184" s="71"/>
    </row>
    <row r="185" spans="1:15" x14ac:dyDescent="0.25">
      <c r="A185" s="71"/>
      <c r="O185" s="71"/>
    </row>
    <row r="186" spans="1:15" x14ac:dyDescent="0.25">
      <c r="A186" s="71"/>
      <c r="O186" s="71"/>
    </row>
    <row r="187" spans="1:15" x14ac:dyDescent="0.25">
      <c r="A187" s="71"/>
      <c r="O187" s="71"/>
    </row>
    <row r="188" spans="1:15" x14ac:dyDescent="0.25">
      <c r="A188" s="71"/>
      <c r="O188" s="71"/>
    </row>
    <row r="189" spans="1:15" x14ac:dyDescent="0.25">
      <c r="A189" s="71"/>
      <c r="O189" s="71"/>
    </row>
    <row r="190" spans="1:15" x14ac:dyDescent="0.25">
      <c r="A190" s="71"/>
      <c r="O190" s="71"/>
    </row>
    <row r="191" spans="1:15" x14ac:dyDescent="0.25">
      <c r="A191" s="71"/>
      <c r="O191" s="71"/>
    </row>
    <row r="192" spans="1:15" x14ac:dyDescent="0.25">
      <c r="A192" s="71"/>
      <c r="O192" s="71"/>
    </row>
    <row r="193" spans="1:15" x14ac:dyDescent="0.25">
      <c r="A193" s="71"/>
      <c r="O193" s="71"/>
    </row>
    <row r="194" spans="1:15" x14ac:dyDescent="0.25">
      <c r="A194" s="71"/>
      <c r="O194" s="71"/>
    </row>
    <row r="195" spans="1:15" x14ac:dyDescent="0.25">
      <c r="A195" s="71"/>
      <c r="O195" s="71"/>
    </row>
    <row r="196" spans="1:15" x14ac:dyDescent="0.25">
      <c r="A196" s="71"/>
      <c r="O196" s="71"/>
    </row>
    <row r="197" spans="1:15" x14ac:dyDescent="0.25">
      <c r="A197" s="71"/>
      <c r="O197" s="71"/>
    </row>
    <row r="198" spans="1:15" x14ac:dyDescent="0.25">
      <c r="A198" s="71"/>
      <c r="O198" s="71"/>
    </row>
    <row r="199" spans="1:15" x14ac:dyDescent="0.25">
      <c r="A199" s="71"/>
      <c r="O199" s="71"/>
    </row>
    <row r="200" spans="1:15" x14ac:dyDescent="0.25">
      <c r="A200" s="71"/>
      <c r="O200" s="71"/>
    </row>
    <row r="201" spans="1:15" x14ac:dyDescent="0.25">
      <c r="A201" s="71"/>
      <c r="O201" s="71"/>
    </row>
    <row r="202" spans="1:15" x14ac:dyDescent="0.25">
      <c r="A202" s="71"/>
      <c r="O202" s="71"/>
    </row>
    <row r="203" spans="1:15" x14ac:dyDescent="0.25">
      <c r="A203" s="71"/>
      <c r="O203" s="71"/>
    </row>
    <row r="204" spans="1:15" x14ac:dyDescent="0.25">
      <c r="A204" s="71"/>
      <c r="O204" s="71"/>
    </row>
    <row r="205" spans="1:15" x14ac:dyDescent="0.25">
      <c r="A205" s="71"/>
      <c r="O205" s="71"/>
    </row>
    <row r="206" spans="1:15" x14ac:dyDescent="0.25">
      <c r="A206" s="71"/>
      <c r="O206" s="71"/>
    </row>
    <row r="207" spans="1:15" x14ac:dyDescent="0.25">
      <c r="A207" s="71"/>
      <c r="O207" s="71"/>
    </row>
    <row r="208" spans="1:15" x14ac:dyDescent="0.25">
      <c r="A208" s="71"/>
      <c r="O208" s="71"/>
    </row>
    <row r="209" spans="1:15" x14ac:dyDescent="0.25">
      <c r="A209" s="71"/>
      <c r="O209" s="71"/>
    </row>
    <row r="210" spans="1:15" x14ac:dyDescent="0.25">
      <c r="A210" s="71"/>
      <c r="O210" s="71"/>
    </row>
    <row r="211" spans="1:15" x14ac:dyDescent="0.25">
      <c r="A211" s="71"/>
      <c r="O211" s="71"/>
    </row>
    <row r="212" spans="1:15" x14ac:dyDescent="0.25">
      <c r="A212" s="71"/>
      <c r="O212" s="71"/>
    </row>
    <row r="213" spans="1:15" x14ac:dyDescent="0.25">
      <c r="A213" s="71"/>
      <c r="O213" s="71"/>
    </row>
    <row r="214" spans="1:15" x14ac:dyDescent="0.25">
      <c r="A214" s="71"/>
      <c r="O214" s="71"/>
    </row>
    <row r="215" spans="1:15" x14ac:dyDescent="0.25">
      <c r="A215" s="71"/>
      <c r="O215" s="71"/>
    </row>
    <row r="216" spans="1:15" x14ac:dyDescent="0.25">
      <c r="A216" s="71"/>
      <c r="O216" s="71"/>
    </row>
    <row r="217" spans="1:15" x14ac:dyDescent="0.25">
      <c r="A217" s="71"/>
      <c r="O217" s="71"/>
    </row>
    <row r="218" spans="1:15" x14ac:dyDescent="0.25">
      <c r="A218" s="71"/>
      <c r="O218" s="71"/>
    </row>
    <row r="219" spans="1:15" x14ac:dyDescent="0.25">
      <c r="A219" s="71"/>
      <c r="O219" s="71"/>
    </row>
    <row r="220" spans="1:15" x14ac:dyDescent="0.25">
      <c r="A220" s="71"/>
      <c r="O220" s="71"/>
    </row>
    <row r="221" spans="1:15" x14ac:dyDescent="0.25">
      <c r="A221" s="71"/>
      <c r="O221" s="71"/>
    </row>
    <row r="222" spans="1:15" x14ac:dyDescent="0.25">
      <c r="A222" s="71"/>
      <c r="O222" s="71"/>
    </row>
    <row r="223" spans="1:15" x14ac:dyDescent="0.25">
      <c r="A223" s="71"/>
      <c r="O223" s="71"/>
    </row>
    <row r="224" spans="1:15" x14ac:dyDescent="0.25">
      <c r="A224" s="71"/>
      <c r="O224" s="71"/>
    </row>
    <row r="225" spans="1:15" x14ac:dyDescent="0.25">
      <c r="A225" s="71"/>
      <c r="O225" s="71"/>
    </row>
    <row r="226" spans="1:15" x14ac:dyDescent="0.25">
      <c r="A226" s="71"/>
      <c r="O226" s="71"/>
    </row>
    <row r="227" spans="1:15" x14ac:dyDescent="0.25">
      <c r="A227" s="71"/>
      <c r="O227" s="71"/>
    </row>
    <row r="228" spans="1:15" x14ac:dyDescent="0.25">
      <c r="O228" s="71"/>
    </row>
    <row r="229" spans="1:15" x14ac:dyDescent="0.25">
      <c r="O229" s="71"/>
    </row>
  </sheetData>
  <mergeCells count="35">
    <mergeCell ref="D49:G49"/>
    <mergeCell ref="H49:H50"/>
    <mergeCell ref="B49:B50"/>
    <mergeCell ref="F165:H165"/>
    <mergeCell ref="C166:E166"/>
    <mergeCell ref="F166:H166"/>
    <mergeCell ref="D151:E151"/>
    <mergeCell ref="F151:G151"/>
    <mergeCell ref="H151:J151"/>
    <mergeCell ref="J49:J50"/>
    <mergeCell ref="I49:I50"/>
    <mergeCell ref="C49:C50"/>
    <mergeCell ref="B4:B5"/>
    <mergeCell ref="G13:G14"/>
    <mergeCell ref="B34:B35"/>
    <mergeCell ref="E4:E5"/>
    <mergeCell ref="E34:E35"/>
    <mergeCell ref="B13:B14"/>
    <mergeCell ref="E13:F13"/>
    <mergeCell ref="K151:L151"/>
    <mergeCell ref="C173:E173"/>
    <mergeCell ref="F173:H173"/>
    <mergeCell ref="C170:E170"/>
    <mergeCell ref="F170:H170"/>
    <mergeCell ref="C171:E171"/>
    <mergeCell ref="F171:H171"/>
    <mergeCell ref="C172:E172"/>
    <mergeCell ref="F172:H172"/>
    <mergeCell ref="C167:E167"/>
    <mergeCell ref="F167:H167"/>
    <mergeCell ref="C168:E168"/>
    <mergeCell ref="F168:H168"/>
    <mergeCell ref="C169:E169"/>
    <mergeCell ref="F169:H169"/>
    <mergeCell ref="C165:E165"/>
  </mergeCells>
  <conditionalFormatting sqref="I6:J9 I5:K5">
    <cfRule type="cellIs" dxfId="0" priority="1" stopIfTrue="1" operator="equal">
      <formula>"N.A."</formula>
    </cfRule>
  </conditionalFormatting>
  <pageMargins left="0.511811024" right="0.511811024" top="0.78740157499999996" bottom="0.78740157499999996" header="0.31496062000000002" footer="0.31496062000000002"/>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Plan39">
    <tabColor rgb="FFB2B2B2"/>
  </sheetPr>
  <dimension ref="B1:OU68"/>
  <sheetViews>
    <sheetView showGridLines="0" workbookViewId="0">
      <selection activeCell="I19" sqref="I19"/>
    </sheetView>
  </sheetViews>
  <sheetFormatPr defaultColWidth="9.140625" defaultRowHeight="15" x14ac:dyDescent="0.25"/>
  <cols>
    <col min="1" max="1" width="5.7109375" style="10" customWidth="1"/>
    <col min="2" max="2" width="30.28515625" style="51" customWidth="1"/>
    <col min="3" max="3" width="8.5703125" style="10" bestFit="1" customWidth="1"/>
    <col min="4" max="9" width="15.7109375" style="10" customWidth="1"/>
    <col min="10" max="10" width="28.7109375" style="10" bestFit="1" customWidth="1"/>
    <col min="11" max="12" width="21.42578125" style="10" bestFit="1" customWidth="1"/>
    <col min="13" max="13" width="28.5703125" style="10" bestFit="1" customWidth="1"/>
    <col min="14" max="14" width="23.28515625" style="10" customWidth="1"/>
    <col min="15" max="15" width="18" style="10" bestFit="1" customWidth="1"/>
    <col min="16" max="16" width="21.7109375" style="10" customWidth="1"/>
    <col min="17" max="17" width="33.28515625" style="10" customWidth="1"/>
    <col min="18" max="18" width="18" style="10" bestFit="1" customWidth="1"/>
    <col min="19" max="19" width="21.28515625" style="10" customWidth="1"/>
    <col min="20" max="20" width="12" style="10" bestFit="1" customWidth="1"/>
    <col min="21" max="21" width="10.42578125" style="10" customWidth="1"/>
    <col min="22" max="22" width="10.28515625" style="10" customWidth="1"/>
    <col min="23" max="23" width="11.7109375" style="10" customWidth="1"/>
    <col min="24" max="24" width="10" style="10" customWidth="1"/>
    <col min="25" max="25" width="12.42578125" style="10" customWidth="1"/>
    <col min="26" max="26" width="10.5703125" style="10" bestFit="1" customWidth="1"/>
    <col min="27" max="28" width="9.140625" style="10"/>
    <col min="29" max="29" width="11.7109375" style="10" customWidth="1"/>
    <col min="30" max="34" width="9.140625" style="10"/>
    <col min="35" max="35" width="11.7109375" style="10" customWidth="1"/>
    <col min="36" max="36" width="9.5703125" style="10" bestFit="1" customWidth="1"/>
    <col min="37" max="16384" width="9.140625" style="10"/>
  </cols>
  <sheetData>
    <row r="1" spans="2:411" s="62" customFormat="1" ht="15.75" customHeight="1" x14ac:dyDescent="0.25">
      <c r="B1" s="6"/>
      <c r="C1" s="15"/>
      <c r="D1" s="15"/>
      <c r="E1" s="15"/>
      <c r="F1" s="15"/>
      <c r="G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5"/>
      <c r="IA1" s="15"/>
      <c r="IB1" s="15"/>
      <c r="IC1" s="15"/>
      <c r="ID1" s="15"/>
      <c r="IE1" s="15"/>
      <c r="IF1" s="15"/>
      <c r="IG1" s="15"/>
      <c r="IH1" s="15"/>
      <c r="II1" s="15"/>
      <c r="IJ1" s="15"/>
      <c r="IK1" s="15"/>
      <c r="IL1" s="15"/>
      <c r="IM1" s="15"/>
      <c r="IN1" s="15"/>
      <c r="IO1" s="15"/>
      <c r="IP1" s="15"/>
      <c r="IQ1" s="15"/>
      <c r="IR1" s="15"/>
      <c r="IS1" s="15"/>
      <c r="IT1" s="15"/>
      <c r="IU1" s="15"/>
      <c r="IV1" s="15"/>
      <c r="IW1" s="15"/>
      <c r="IX1" s="15"/>
      <c r="IY1" s="15"/>
      <c r="IZ1" s="15"/>
      <c r="JA1" s="15"/>
      <c r="JB1" s="15"/>
      <c r="JC1" s="15"/>
      <c r="JD1" s="15"/>
      <c r="JE1" s="15"/>
      <c r="JF1" s="15"/>
      <c r="JG1" s="15"/>
      <c r="JH1" s="15"/>
      <c r="JI1" s="15"/>
      <c r="JJ1" s="15"/>
      <c r="JK1" s="15"/>
      <c r="JL1" s="15"/>
      <c r="JM1" s="15"/>
      <c r="JN1" s="15"/>
      <c r="JO1" s="15"/>
      <c r="JP1" s="15"/>
      <c r="JQ1" s="15"/>
      <c r="JR1" s="15"/>
      <c r="JS1" s="15"/>
      <c r="JT1" s="15"/>
      <c r="JU1" s="15"/>
      <c r="JV1" s="15"/>
      <c r="JW1" s="15"/>
      <c r="JX1" s="15"/>
      <c r="JY1" s="15"/>
      <c r="JZ1" s="15"/>
      <c r="KA1" s="15"/>
      <c r="KB1" s="15"/>
      <c r="KC1" s="15"/>
      <c r="KD1" s="15"/>
      <c r="KE1" s="15"/>
      <c r="KF1" s="15"/>
      <c r="KG1" s="15"/>
      <c r="KH1" s="15"/>
      <c r="KI1" s="15"/>
      <c r="KJ1" s="15"/>
      <c r="KK1" s="15"/>
      <c r="KL1" s="15"/>
      <c r="KM1" s="15"/>
      <c r="KN1" s="15"/>
      <c r="KO1" s="15"/>
      <c r="KP1" s="15"/>
      <c r="KQ1" s="15"/>
      <c r="KR1" s="15"/>
      <c r="KS1" s="15"/>
      <c r="KT1" s="15"/>
      <c r="KU1" s="15"/>
      <c r="KV1" s="15"/>
      <c r="KW1" s="15"/>
      <c r="KX1" s="15"/>
      <c r="KY1" s="15"/>
      <c r="KZ1" s="15"/>
      <c r="LA1" s="15"/>
      <c r="LB1" s="15"/>
      <c r="LC1" s="15"/>
      <c r="LD1" s="15"/>
      <c r="LE1" s="15"/>
      <c r="LF1" s="15"/>
      <c r="LG1" s="15"/>
      <c r="LH1" s="15"/>
      <c r="LI1" s="15"/>
      <c r="LJ1" s="15"/>
      <c r="LK1" s="15"/>
      <c r="LL1" s="15"/>
      <c r="LM1" s="15"/>
      <c r="LN1" s="15"/>
      <c r="LO1" s="15"/>
      <c r="LP1" s="15"/>
      <c r="LQ1" s="15"/>
      <c r="LR1" s="15"/>
      <c r="LS1" s="15"/>
      <c r="LT1" s="15"/>
      <c r="LU1" s="15"/>
      <c r="LV1" s="15"/>
      <c r="LW1" s="15"/>
      <c r="LX1" s="15"/>
      <c r="LY1" s="15"/>
      <c r="LZ1" s="15"/>
      <c r="MA1" s="15"/>
      <c r="MB1" s="15"/>
      <c r="MC1" s="15"/>
      <c r="MD1" s="15"/>
      <c r="ME1" s="15"/>
      <c r="MF1" s="15"/>
      <c r="MG1" s="15"/>
      <c r="MH1" s="15"/>
      <c r="MI1" s="15"/>
      <c r="MJ1" s="15"/>
      <c r="MK1" s="15"/>
      <c r="ML1" s="15"/>
      <c r="MM1" s="15"/>
      <c r="MN1" s="15"/>
      <c r="MO1" s="15"/>
      <c r="MP1" s="15"/>
      <c r="MQ1" s="15"/>
      <c r="MR1" s="15"/>
      <c r="MS1" s="15"/>
      <c r="MT1" s="15"/>
      <c r="MU1" s="15"/>
      <c r="MV1" s="15"/>
      <c r="MW1" s="15"/>
      <c r="MX1" s="15"/>
      <c r="MY1" s="15"/>
      <c r="MZ1" s="15"/>
      <c r="NA1" s="15"/>
      <c r="NB1" s="15"/>
      <c r="NC1" s="15"/>
      <c r="ND1" s="15"/>
      <c r="NE1" s="15"/>
      <c r="NF1" s="15"/>
      <c r="NG1" s="15"/>
      <c r="NH1" s="15"/>
      <c r="NI1" s="15"/>
      <c r="NJ1" s="15"/>
      <c r="NK1" s="15"/>
      <c r="NL1" s="15"/>
      <c r="NM1" s="15"/>
      <c r="NN1" s="15"/>
      <c r="NO1" s="15"/>
      <c r="NP1" s="15"/>
      <c r="NQ1" s="15"/>
      <c r="NR1" s="15"/>
      <c r="NS1" s="15"/>
      <c r="NT1" s="15"/>
      <c r="NU1" s="15"/>
      <c r="NV1" s="15"/>
      <c r="NW1" s="15"/>
      <c r="NX1" s="15"/>
      <c r="NY1" s="15"/>
      <c r="NZ1" s="15"/>
      <c r="OA1" s="15"/>
      <c r="OB1" s="15"/>
      <c r="OC1" s="15"/>
      <c r="OD1" s="15"/>
      <c r="OE1" s="15"/>
      <c r="OF1" s="15"/>
      <c r="OG1" s="15"/>
      <c r="OH1" s="15"/>
      <c r="OI1" s="15"/>
      <c r="OJ1" s="15"/>
      <c r="OK1" s="15"/>
      <c r="OL1" s="15"/>
      <c r="OM1" s="15"/>
      <c r="ON1" s="15"/>
      <c r="OO1" s="15"/>
      <c r="OP1" s="15"/>
      <c r="OQ1" s="15"/>
      <c r="OR1" s="15"/>
      <c r="OS1" s="15"/>
      <c r="OT1" s="15"/>
      <c r="OU1" s="15"/>
    </row>
    <row r="2" spans="2:411" x14ac:dyDescent="0.25">
      <c r="B2" s="6" t="s">
        <v>482</v>
      </c>
      <c r="E2" s="184"/>
      <c r="F2" s="185"/>
      <c r="G2" s="186"/>
      <c r="H2" s="187"/>
      <c r="I2" s="187"/>
      <c r="J2" s="187"/>
      <c r="K2" s="187"/>
      <c r="L2" s="187"/>
      <c r="M2" s="187"/>
    </row>
    <row r="3" spans="2:411" ht="18" x14ac:dyDescent="0.25">
      <c r="B3" s="200" t="s">
        <v>479</v>
      </c>
      <c r="C3" s="200" t="s">
        <v>0</v>
      </c>
      <c r="D3" s="201" t="s">
        <v>471</v>
      </c>
      <c r="E3" s="201" t="s">
        <v>472</v>
      </c>
      <c r="F3" s="201" t="s">
        <v>473</v>
      </c>
      <c r="G3" s="201" t="s">
        <v>474</v>
      </c>
      <c r="H3" s="201" t="s">
        <v>475</v>
      </c>
      <c r="I3" s="201" t="s">
        <v>484</v>
      </c>
      <c r="J3" s="202" t="s">
        <v>477</v>
      </c>
      <c r="L3" s="188"/>
      <c r="M3" s="189"/>
      <c r="N3" s="190"/>
      <c r="O3" s="190"/>
      <c r="V3" s="191"/>
      <c r="W3" s="191"/>
      <c r="AA3" s="191"/>
      <c r="AB3" s="191"/>
    </row>
    <row r="4" spans="2:411" ht="15" customHeight="1" x14ac:dyDescent="0.25">
      <c r="B4" s="203"/>
      <c r="C4" s="203"/>
      <c r="D4" s="204" t="s">
        <v>470</v>
      </c>
      <c r="E4" s="204" t="s">
        <v>470</v>
      </c>
      <c r="F4" s="204" t="s">
        <v>470</v>
      </c>
      <c r="G4" s="204" t="s">
        <v>470</v>
      </c>
      <c r="H4" s="204" t="s">
        <v>470</v>
      </c>
      <c r="I4" s="204" t="s">
        <v>142</v>
      </c>
      <c r="J4" s="204"/>
      <c r="L4" s="188"/>
      <c r="M4" s="189"/>
      <c r="N4" s="190"/>
      <c r="O4" s="190"/>
      <c r="V4" s="191"/>
      <c r="W4" s="191"/>
      <c r="AA4" s="191"/>
      <c r="AB4" s="191"/>
    </row>
    <row r="5" spans="2:411" x14ac:dyDescent="0.25">
      <c r="B5" s="205" t="s">
        <v>478</v>
      </c>
      <c r="C5" s="206" t="s">
        <v>1</v>
      </c>
      <c r="D5" s="223">
        <f>D24/'Dados auxiliares'!$D$26</f>
        <v>3098.8095238095239</v>
      </c>
      <c r="E5" s="223">
        <f>E24/'Dados auxiliares'!$D$26</f>
        <v>0</v>
      </c>
      <c r="F5" s="224">
        <f>F24/'Dados auxiliares'!$D$26</f>
        <v>0.16491805200000001</v>
      </c>
      <c r="G5" s="224">
        <f>G24/'Dados auxiliares'!$D$26</f>
        <v>0</v>
      </c>
      <c r="H5" s="224">
        <f>H24/'Dados auxiliares'!$D$26</f>
        <v>0.16491805200000001</v>
      </c>
      <c r="I5" s="222">
        <f>(D5+F5*'Dados auxiliares'!$D$7+G5*'Dados auxiliares'!$D$8+H5*'Dados auxiliares'!$D$9)/'Dados auxiliares'!$F$26</f>
        <v>74.431484078426678</v>
      </c>
      <c r="J5" s="213"/>
      <c r="O5" s="180"/>
      <c r="P5" s="180"/>
      <c r="Q5" s="180"/>
      <c r="R5" s="2"/>
      <c r="BB5" s="47"/>
    </row>
    <row r="6" spans="2:411" x14ac:dyDescent="0.25">
      <c r="B6" s="205" t="s">
        <v>426</v>
      </c>
      <c r="C6" s="206" t="s">
        <v>1</v>
      </c>
      <c r="D6" s="223">
        <f>D25/'Dados auxiliares'!$D$17</f>
        <v>0</v>
      </c>
      <c r="E6" s="223">
        <f>E25/'Dados auxiliares'!$D$17</f>
        <v>2762.5</v>
      </c>
      <c r="F6" s="224">
        <f>F25/'Dados auxiliares'!$D$17</f>
        <v>0</v>
      </c>
      <c r="G6" s="224">
        <f>G25/'Dados auxiliares'!$D$17</f>
        <v>0.37681199999999992</v>
      </c>
      <c r="H6" s="224">
        <f>H25/'Dados auxiliares'!$D$17</f>
        <v>2.2608719999999999E-2</v>
      </c>
      <c r="I6" s="222">
        <f>(D6+F6*'Dados auxiliares'!$D$7+G6*'Dados auxiliares'!$D$8+H6*'Dados auxiliares'!$D$9)/'Dados auxiliares'!$F$17</f>
        <v>0.439</v>
      </c>
      <c r="J6" s="176"/>
      <c r="Q6" s="191"/>
    </row>
    <row r="7" spans="2:411" x14ac:dyDescent="0.25">
      <c r="B7" s="205" t="s">
        <v>125</v>
      </c>
      <c r="C7" s="206" t="s">
        <v>1</v>
      </c>
      <c r="D7" s="223">
        <f>D26/'Dados auxiliares'!$D$15</f>
        <v>0</v>
      </c>
      <c r="E7" s="223">
        <f>E26/'Dados auxiliares'!$D$15</f>
        <v>1929.2035398230087</v>
      </c>
      <c r="F7" s="224">
        <f>F26/'Dados auxiliares'!$D$15</f>
        <v>0</v>
      </c>
      <c r="G7" s="224">
        <f>G26/'Dados auxiliares'!$D$15</f>
        <v>0.28260899999999994</v>
      </c>
      <c r="H7" s="224">
        <f>H26/'Dados auxiliares'!$D$15</f>
        <v>1.6956540000000003E-2</v>
      </c>
      <c r="I7" s="222">
        <f>(D7+F7*'Dados auxiliares'!$D$7+G7*'Dados auxiliares'!$D$8+H7*'Dados auxiliares'!$D$9)/'Dados auxiliares'!$F$15</f>
        <v>0.43899999999999995</v>
      </c>
      <c r="J7" s="214"/>
      <c r="K7" s="180"/>
      <c r="L7" s="180"/>
      <c r="BB7" s="194"/>
    </row>
    <row r="8" spans="2:411" x14ac:dyDescent="0.25">
      <c r="B8" s="205" t="s">
        <v>126</v>
      </c>
      <c r="C8" s="206" t="s">
        <v>1</v>
      </c>
      <c r="D8" s="223">
        <f>D27/'Dados auxiliares'!$D$16</f>
        <v>0</v>
      </c>
      <c r="E8" s="223">
        <f>E27/'Dados auxiliares'!$D$16</f>
        <v>1800.9888751545116</v>
      </c>
      <c r="F8" s="224">
        <f>F27/'Dados auxiliares'!$D$16</f>
        <v>0</v>
      </c>
      <c r="G8" s="224">
        <f>G27/'Dados auxiliares'!$D$16</f>
        <v>0.47478312</v>
      </c>
      <c r="H8" s="224">
        <f>H27/'Dados auxiliares'!$D$16</f>
        <v>1.5826104000000001E-2</v>
      </c>
      <c r="I8" s="222">
        <f>(D8+F8*'Dados auxiliares'!$D$7+G8*'Dados auxiliares'!$D$8+H8*'Dados auxiliares'!$D$9)/'Dados auxiliares'!$F$16</f>
        <v>0.66300000000000003</v>
      </c>
      <c r="J8" s="175"/>
      <c r="K8" s="2"/>
      <c r="L8" s="195"/>
      <c r="BC8" s="180"/>
    </row>
    <row r="9" spans="2:411" x14ac:dyDescent="0.25">
      <c r="B9" s="205" t="s">
        <v>188</v>
      </c>
      <c r="C9" s="206" t="s">
        <v>1</v>
      </c>
      <c r="D9" s="223">
        <f>D28/'Dados auxiliares'!$D$24</f>
        <v>2981.132075471698</v>
      </c>
      <c r="E9" s="223">
        <f>E28/'Dados auxiliares'!$D$24</f>
        <v>0</v>
      </c>
      <c r="F9" s="224">
        <f>F28/'Dados auxiliares'!$D$24</f>
        <v>1.088568</v>
      </c>
      <c r="G9" s="224">
        <f>G28/'Dados auxiliares'!$D$24</f>
        <v>0</v>
      </c>
      <c r="H9" s="224">
        <f>H28/'Dados auxiliares'!$D$24</f>
        <v>0.34834176000000006</v>
      </c>
      <c r="I9" s="222">
        <f>(D9+F9*'Dados auxiliares'!$D$7+G9*'Dados auxiliares'!$D$8+H9*'Dados auxiliares'!$D$9)/'Dados auxiliares'!$F$24</f>
        <v>71.334534954906303</v>
      </c>
      <c r="J9" s="177"/>
      <c r="K9" s="196"/>
      <c r="L9" s="196"/>
      <c r="BB9" s="6"/>
      <c r="BC9" s="6"/>
    </row>
    <row r="10" spans="2:411" x14ac:dyDescent="0.25">
      <c r="B10" s="205" t="s">
        <v>467</v>
      </c>
      <c r="C10" s="206" t="s">
        <v>1</v>
      </c>
      <c r="D10" s="223">
        <f>($D$19*D26+(1-$D$19)*D28)/'Dados auxiliares'!$D$25</f>
        <v>2140.8816705336426</v>
      </c>
      <c r="E10" s="223">
        <f>($D$19*E26+(1-$D$19)*E28)/'Dados auxiliares'!$D$25</f>
        <v>546.26450116009289</v>
      </c>
      <c r="F10" s="224">
        <f>($D$19*F26+(1-$D$19)*F28)/'Dados auxiliares'!$D$25</f>
        <v>0.781748416148492</v>
      </c>
      <c r="G10" s="224">
        <f>($D$19*G26+(1-$D$19)*G28)/'Dados auxiliares'!$D$25</f>
        <v>8.0022279257540602E-2</v>
      </c>
      <c r="H10" s="224">
        <f>($D$19*H26+(1-$D$19)*H28)/'Dados auxiliares'!$D$25</f>
        <v>0.25496082992296987</v>
      </c>
      <c r="I10" s="222">
        <f>(D10+F10*'Dados auxiliares'!$D$7+G10*'Dados auxiliares'!$D$8+H10*'Dados auxiliares'!$D$9)/'Dados auxiliares'!$F$25</f>
        <v>56.767555345343105</v>
      </c>
      <c r="J10" s="177"/>
      <c r="K10" s="196"/>
      <c r="L10" s="196"/>
      <c r="BB10" s="6"/>
      <c r="BC10" s="6"/>
    </row>
    <row r="11" spans="2:411" x14ac:dyDescent="0.25">
      <c r="B11" s="205" t="s">
        <v>244</v>
      </c>
      <c r="C11" s="206" t="s">
        <v>1</v>
      </c>
      <c r="D11" s="223">
        <f>D30/('Dados auxiliares'!$D$27*1000)</f>
        <v>2701.3513513513512</v>
      </c>
      <c r="E11" s="223">
        <f>E30/('Dados auxiliares'!$D$27*1000)</f>
        <v>0</v>
      </c>
      <c r="F11" s="224">
        <f>F30/('Dados auxiliares'!$D$27*1000)</f>
        <v>4.5945945945945947</v>
      </c>
      <c r="G11" s="224">
        <f>G30/('Dados auxiliares'!$D$27*1000)</f>
        <v>0</v>
      </c>
      <c r="H11" s="224">
        <f>H30/('Dados auxiliares'!$D$27*1000)</f>
        <v>0.14864864864864866</v>
      </c>
      <c r="I11" s="222">
        <f>(D11+F11*'Dados auxiliares'!$D$7+G11*'Dados auxiliares'!$D$8+H11*'Dados auxiliares'!$D$9)/'Dados auxiliares'!$F$27</f>
        <v>78.129236287017889</v>
      </c>
      <c r="J11" s="215"/>
      <c r="O11" s="180"/>
      <c r="BB11" s="47"/>
    </row>
    <row r="12" spans="2:411" x14ac:dyDescent="0.25">
      <c r="B12" s="205" t="s">
        <v>262</v>
      </c>
      <c r="C12" s="206" t="s">
        <v>169</v>
      </c>
      <c r="D12" s="211">
        <v>0</v>
      </c>
      <c r="E12" s="223">
        <f>D11</f>
        <v>2701.3513513513512</v>
      </c>
      <c r="F12" s="212">
        <v>0</v>
      </c>
      <c r="G12" s="224">
        <f>F11</f>
        <v>4.5945945945945947</v>
      </c>
      <c r="H12" s="224">
        <f>H11</f>
        <v>0.14864864864864866</v>
      </c>
      <c r="I12" s="222">
        <f>(D12+F12*'Dados auxiliares'!$D$7+G12*'Dados auxiliares'!$D$8+H12*'Dados auxiliares'!$D$9)/'Dados auxiliares'!F18</f>
        <v>3.4827055034308922</v>
      </c>
      <c r="J12" s="215"/>
      <c r="O12" s="180"/>
      <c r="BB12" s="47"/>
    </row>
    <row r="13" spans="2:411" x14ac:dyDescent="0.25">
      <c r="B13" s="205" t="s">
        <v>274</v>
      </c>
      <c r="C13" s="206" t="s">
        <v>1</v>
      </c>
      <c r="D13" s="223">
        <f>D29/'Dados auxiliares'!$D$28</f>
        <v>3149.9999999999995</v>
      </c>
      <c r="E13" s="223">
        <f>E29/'Dados auxiliares'!$D$28</f>
        <v>0</v>
      </c>
      <c r="F13" s="224">
        <f>F29/'Dados auxiliares'!$D$28</f>
        <v>2.205E-2</v>
      </c>
      <c r="G13" s="224">
        <f>G29/'Dados auxiliares'!$D$28</f>
        <v>0</v>
      </c>
      <c r="H13" s="224">
        <f>H29/'Dados auxiliares'!$D$28</f>
        <v>8.8200000000000001E-2</v>
      </c>
      <c r="I13" s="222">
        <f>(D13+F13*'Dados auxiliares'!$D$7+G13*'Dados auxiliares'!$D$8+H13*'Dados auxiliares'!$D$9)/'Dados auxiliares'!$F$28</f>
        <v>72.894722699913999</v>
      </c>
      <c r="J13" s="176"/>
      <c r="O13" s="180"/>
    </row>
    <row r="14" spans="2:411" x14ac:dyDescent="0.25">
      <c r="B14" s="205" t="s">
        <v>486</v>
      </c>
      <c r="C14" s="206" t="s">
        <v>1</v>
      </c>
      <c r="D14" s="211">
        <v>0</v>
      </c>
      <c r="E14" s="223">
        <f>D13</f>
        <v>3149.9999999999995</v>
      </c>
      <c r="F14" s="212">
        <v>0</v>
      </c>
      <c r="G14" s="224">
        <f>F13</f>
        <v>2.205E-2</v>
      </c>
      <c r="H14" s="224">
        <f>H13</f>
        <v>8.8200000000000001E-2</v>
      </c>
      <c r="I14" s="222">
        <f>(D14+F14*'Dados auxiliares'!$D$7+G14*'Dados auxiliares'!$D$8+H14*'Dados auxiliares'!$D$9)/'Dados auxiliares'!$F$20</f>
        <v>0.550962365235796</v>
      </c>
      <c r="J14" s="215"/>
      <c r="O14" s="180"/>
    </row>
    <row r="15" spans="2:411" x14ac:dyDescent="0.25">
      <c r="B15" s="205" t="s">
        <v>842</v>
      </c>
      <c r="C15" s="206" t="s">
        <v>1</v>
      </c>
      <c r="D15" s="211">
        <v>0</v>
      </c>
      <c r="E15" s="223">
        <f>D9</f>
        <v>2981.132075471698</v>
      </c>
      <c r="F15" s="212">
        <v>0</v>
      </c>
      <c r="G15" s="224">
        <f>F9</f>
        <v>1.088568</v>
      </c>
      <c r="H15" s="224">
        <f>H9</f>
        <v>0.34834176000000006</v>
      </c>
      <c r="I15" s="222">
        <f>(D15+F15*'Dados auxiliares'!$D$7+G15*'Dados auxiliares'!$D$8+H15*'Dados auxiliares'!$D$9)/'Dados auxiliares'!$F$22</f>
        <v>2.7323202136181579</v>
      </c>
      <c r="J15" s="215"/>
      <c r="K15" s="196"/>
      <c r="L15" s="196"/>
      <c r="BB15" s="6"/>
      <c r="BC15" s="6"/>
    </row>
    <row r="16" spans="2:411" x14ac:dyDescent="0.25">
      <c r="B16" s="205" t="s">
        <v>841</v>
      </c>
      <c r="C16" s="206" t="s">
        <v>1</v>
      </c>
      <c r="D16" s="211">
        <v>0</v>
      </c>
      <c r="E16" s="223">
        <f>D5</f>
        <v>3098.8095238095239</v>
      </c>
      <c r="F16" s="212">
        <v>0</v>
      </c>
      <c r="G16" s="224">
        <f>F5</f>
        <v>0.16491805200000001</v>
      </c>
      <c r="H16" s="224">
        <f>H5</f>
        <v>0.16491805200000001</v>
      </c>
      <c r="I16" s="222">
        <f>(D16+F16*'Dados auxiliares'!$D$7+G16*'Dados auxiliares'!$D$8+H16*'Dados auxiliares'!$D$9)/'Dados auxiliares'!$F$21</f>
        <v>1.0987037115961802</v>
      </c>
      <c r="J16" s="215"/>
      <c r="Q16" s="191"/>
    </row>
    <row r="17" spans="2:37" x14ac:dyDescent="0.25">
      <c r="B17" s="205" t="s">
        <v>935</v>
      </c>
      <c r="C17" s="206" t="s">
        <v>1</v>
      </c>
      <c r="D17" s="211">
        <v>0</v>
      </c>
      <c r="E17" s="223">
        <f>D68</f>
        <v>2701.3513513513512</v>
      </c>
      <c r="F17" s="212">
        <v>0</v>
      </c>
      <c r="G17" s="224">
        <f>F68</f>
        <v>4.5945945945945947</v>
      </c>
      <c r="H17" s="224">
        <f>H68</f>
        <v>0.14864864864864866</v>
      </c>
      <c r="I17" s="222">
        <f>(D17+F17*'Dados auxiliares'!$D$7+G17*'Dados auxiliares'!$D$8+H17*'Dados auxiliares'!$D$9)/'Dados auxiliares'!$F$23</f>
        <v>3.6060201832734022</v>
      </c>
      <c r="J17" s="215"/>
      <c r="O17" s="402"/>
    </row>
    <row r="18" spans="2:37" ht="6" customHeight="1" x14ac:dyDescent="0.25">
      <c r="B18" s="10"/>
      <c r="J18" s="183"/>
      <c r="O18" s="180"/>
    </row>
    <row r="19" spans="2:37" x14ac:dyDescent="0.25">
      <c r="B19" s="762" t="s">
        <v>491</v>
      </c>
      <c r="C19" s="762"/>
      <c r="D19" s="416">
        <v>0.27</v>
      </c>
      <c r="E19" s="193"/>
      <c r="F19" s="193"/>
      <c r="G19" s="193"/>
      <c r="H19" s="77"/>
      <c r="I19" s="48"/>
      <c r="J19" s="183"/>
      <c r="O19" s="180"/>
    </row>
    <row r="20" spans="2:37" x14ac:dyDescent="0.25">
      <c r="B20" s="192"/>
      <c r="C20" s="192"/>
      <c r="D20" s="50"/>
      <c r="E20" s="193"/>
      <c r="F20" s="193"/>
      <c r="G20" s="193"/>
      <c r="H20" s="77"/>
      <c r="I20" s="48"/>
      <c r="J20" s="183"/>
      <c r="O20" s="180"/>
    </row>
    <row r="21" spans="2:37" x14ac:dyDescent="0.25">
      <c r="B21" s="192"/>
      <c r="C21" s="192"/>
      <c r="D21" s="50"/>
      <c r="E21" s="193"/>
      <c r="F21" s="193"/>
      <c r="G21" s="193"/>
      <c r="H21" s="77"/>
      <c r="I21" s="48"/>
      <c r="J21" s="183"/>
      <c r="O21" s="402"/>
    </row>
    <row r="22" spans="2:37" ht="18" x14ac:dyDescent="0.25">
      <c r="B22" s="200" t="s">
        <v>479</v>
      </c>
      <c r="C22" s="200" t="s">
        <v>0</v>
      </c>
      <c r="D22" s="201" t="s">
        <v>471</v>
      </c>
      <c r="E22" s="201" t="s">
        <v>472</v>
      </c>
      <c r="F22" s="201" t="s">
        <v>473</v>
      </c>
      <c r="G22" s="201" t="s">
        <v>474</v>
      </c>
      <c r="H22" s="201" t="s">
        <v>475</v>
      </c>
      <c r="I22" s="201"/>
      <c r="J22" s="202" t="s">
        <v>477</v>
      </c>
      <c r="O22" s="180"/>
    </row>
    <row r="23" spans="2:37" ht="16.5" customHeight="1" x14ac:dyDescent="0.25">
      <c r="B23" s="203"/>
      <c r="C23" s="203"/>
      <c r="D23" s="204" t="s">
        <v>470</v>
      </c>
      <c r="E23" s="204" t="s">
        <v>470</v>
      </c>
      <c r="F23" s="204" t="s">
        <v>470</v>
      </c>
      <c r="G23" s="204" t="s">
        <v>470</v>
      </c>
      <c r="H23" s="204" t="s">
        <v>470</v>
      </c>
      <c r="I23" s="204"/>
      <c r="J23" s="204"/>
      <c r="O23" s="180"/>
    </row>
    <row r="24" spans="2:37" x14ac:dyDescent="0.25">
      <c r="B24" s="205" t="s">
        <v>478</v>
      </c>
      <c r="C24" s="206" t="s">
        <v>412</v>
      </c>
      <c r="D24" s="211">
        <v>2603</v>
      </c>
      <c r="E24" s="211">
        <v>0</v>
      </c>
      <c r="F24" s="212">
        <f>0.00013853116368*1000</f>
        <v>0.13853116368000001</v>
      </c>
      <c r="G24" s="212">
        <v>0</v>
      </c>
      <c r="H24" s="212">
        <f>0.00013853116368*1000</f>
        <v>0.13853116368000001</v>
      </c>
      <c r="I24" s="209"/>
      <c r="J24" s="209" t="s">
        <v>483</v>
      </c>
      <c r="O24" s="198"/>
    </row>
    <row r="25" spans="2:37" x14ac:dyDescent="0.25">
      <c r="B25" s="205" t="s">
        <v>426</v>
      </c>
      <c r="C25" s="206" t="s">
        <v>412</v>
      </c>
      <c r="D25" s="211">
        <v>0</v>
      </c>
      <c r="E25" s="211">
        <v>2431</v>
      </c>
      <c r="F25" s="212">
        <v>0</v>
      </c>
      <c r="G25" s="212">
        <v>0.33159455999999993</v>
      </c>
      <c r="H25" s="212">
        <v>1.98956736E-2</v>
      </c>
      <c r="I25" s="209"/>
      <c r="J25" s="209" t="s">
        <v>483</v>
      </c>
      <c r="Z25" s="191"/>
      <c r="AA25" s="191"/>
      <c r="AB25" s="191"/>
    </row>
    <row r="26" spans="2:37" x14ac:dyDescent="0.25">
      <c r="B26" s="205" t="s">
        <v>125</v>
      </c>
      <c r="C26" s="206" t="s">
        <v>412</v>
      </c>
      <c r="D26" s="211">
        <v>0</v>
      </c>
      <c r="E26" s="211">
        <v>1526</v>
      </c>
      <c r="F26" s="212">
        <v>0</v>
      </c>
      <c r="G26" s="212">
        <v>0.22354371899999997</v>
      </c>
      <c r="H26" s="212">
        <v>1.3412623140000001E-2</v>
      </c>
      <c r="I26" s="209"/>
      <c r="J26" s="209" t="s">
        <v>483</v>
      </c>
    </row>
    <row r="27" spans="2:37" x14ac:dyDescent="0.25">
      <c r="B27" s="205" t="s">
        <v>126</v>
      </c>
      <c r="C27" s="206" t="s">
        <v>412</v>
      </c>
      <c r="D27" s="211">
        <v>0</v>
      </c>
      <c r="E27" s="211">
        <v>1457</v>
      </c>
      <c r="F27" s="212">
        <v>0</v>
      </c>
      <c r="G27" s="212">
        <v>0.38409954408000002</v>
      </c>
      <c r="H27" s="212">
        <v>1.2803318136000002E-2</v>
      </c>
      <c r="I27" s="209"/>
      <c r="J27" s="209" t="s">
        <v>483</v>
      </c>
      <c r="L27" s="187"/>
      <c r="M27" s="187"/>
      <c r="N27" s="187"/>
      <c r="Z27" s="180"/>
      <c r="AA27" s="180"/>
      <c r="AB27" s="180"/>
    </row>
    <row r="28" spans="2:37" x14ac:dyDescent="0.25">
      <c r="B28" s="205" t="s">
        <v>188</v>
      </c>
      <c r="C28" s="206" t="s">
        <v>412</v>
      </c>
      <c r="D28" s="211">
        <v>2212</v>
      </c>
      <c r="E28" s="211">
        <v>0</v>
      </c>
      <c r="F28" s="212">
        <v>0.807717456</v>
      </c>
      <c r="G28" s="212">
        <v>0</v>
      </c>
      <c r="H28" s="212">
        <v>0.25846958592000002</v>
      </c>
      <c r="I28" s="209"/>
      <c r="J28" s="209" t="s">
        <v>483</v>
      </c>
      <c r="O28" s="198"/>
    </row>
    <row r="29" spans="2:37" x14ac:dyDescent="0.25">
      <c r="B29" s="205" t="s">
        <v>485</v>
      </c>
      <c r="C29" s="206" t="s">
        <v>412</v>
      </c>
      <c r="D29" s="211">
        <f>2.51685*1000</f>
        <v>2516.85</v>
      </c>
      <c r="E29" s="211">
        <v>0</v>
      </c>
      <c r="F29" s="212">
        <f>1000*0.00001761795</f>
        <v>1.761795E-2</v>
      </c>
      <c r="G29" s="212">
        <v>0</v>
      </c>
      <c r="H29" s="212">
        <f>1000*0.0000704718</f>
        <v>7.0471800000000001E-2</v>
      </c>
      <c r="I29" s="209"/>
      <c r="J29" s="209" t="s">
        <v>483</v>
      </c>
    </row>
    <row r="30" spans="2:37" x14ac:dyDescent="0.25">
      <c r="B30" s="205" t="s">
        <v>244</v>
      </c>
      <c r="C30" s="206" t="s">
        <v>169</v>
      </c>
      <c r="D30" s="211">
        <v>1999</v>
      </c>
      <c r="E30" s="211">
        <v>0</v>
      </c>
      <c r="F30" s="212">
        <v>3.4</v>
      </c>
      <c r="G30" s="212">
        <v>0</v>
      </c>
      <c r="H30" s="212">
        <v>0.11</v>
      </c>
      <c r="I30" s="209"/>
      <c r="J30" s="209" t="s">
        <v>483</v>
      </c>
    </row>
    <row r="31" spans="2:37" x14ac:dyDescent="0.25">
      <c r="I31" s="197"/>
      <c r="O31" s="198"/>
      <c r="X31" s="9"/>
      <c r="AK31" s="198"/>
    </row>
    <row r="32" spans="2:37" x14ac:dyDescent="0.25">
      <c r="B32" s="6"/>
      <c r="C32" s="6"/>
      <c r="D32" s="183"/>
      <c r="E32" s="193"/>
      <c r="F32" s="193"/>
      <c r="H32" s="199"/>
      <c r="I32" s="199"/>
      <c r="J32" s="199"/>
      <c r="L32" s="199"/>
      <c r="M32" s="199"/>
      <c r="N32" s="199"/>
      <c r="O32" s="199"/>
      <c r="P32" s="199"/>
      <c r="Q32" s="199"/>
      <c r="R32" s="9"/>
      <c r="S32" s="9"/>
      <c r="T32" s="9"/>
      <c r="U32" s="219"/>
      <c r="V32" s="219"/>
      <c r="W32" s="219"/>
      <c r="X32" s="219"/>
    </row>
    <row r="33" spans="2:24" x14ac:dyDescent="0.25">
      <c r="B33" s="6" t="s">
        <v>512</v>
      </c>
      <c r="C33" s="6"/>
      <c r="D33" s="183"/>
      <c r="E33" s="193"/>
      <c r="F33" s="193"/>
      <c r="H33" s="199"/>
      <c r="I33" s="199"/>
      <c r="J33" s="199"/>
      <c r="L33" s="199"/>
      <c r="M33" s="199"/>
      <c r="N33" s="199"/>
      <c r="O33" s="199"/>
      <c r="P33" s="199"/>
      <c r="Q33" s="199"/>
      <c r="R33" s="9"/>
      <c r="S33" s="9"/>
      <c r="T33" s="9"/>
      <c r="U33" s="219"/>
      <c r="V33" s="219"/>
      <c r="W33" s="219"/>
      <c r="X33" s="219"/>
    </row>
    <row r="34" spans="2:24" ht="18" x14ac:dyDescent="0.25">
      <c r="B34" s="200" t="s">
        <v>479</v>
      </c>
      <c r="C34" s="200" t="s">
        <v>0</v>
      </c>
      <c r="D34" s="201" t="s">
        <v>471</v>
      </c>
      <c r="E34" s="201" t="s">
        <v>472</v>
      </c>
      <c r="F34" s="201" t="s">
        <v>473</v>
      </c>
      <c r="G34" s="201" t="s">
        <v>474</v>
      </c>
      <c r="H34" s="201" t="s">
        <v>475</v>
      </c>
      <c r="I34" s="201" t="s">
        <v>476</v>
      </c>
      <c r="J34" s="202" t="s">
        <v>477</v>
      </c>
      <c r="L34" s="199"/>
      <c r="M34" s="199"/>
      <c r="N34" s="199"/>
      <c r="O34" s="199"/>
      <c r="P34" s="199"/>
      <c r="Q34" s="199"/>
      <c r="R34" s="9"/>
      <c r="S34" s="9"/>
      <c r="T34" s="9"/>
      <c r="U34" s="219"/>
      <c r="V34" s="219"/>
      <c r="W34" s="219"/>
      <c r="X34" s="219"/>
    </row>
    <row r="35" spans="2:24" x14ac:dyDescent="0.25">
      <c r="B35" s="203"/>
      <c r="C35" s="203"/>
      <c r="D35" s="204" t="s">
        <v>470</v>
      </c>
      <c r="E35" s="204" t="s">
        <v>470</v>
      </c>
      <c r="F35" s="204" t="s">
        <v>470</v>
      </c>
      <c r="G35" s="204" t="s">
        <v>470</v>
      </c>
      <c r="H35" s="204" t="s">
        <v>470</v>
      </c>
      <c r="I35" s="204" t="s">
        <v>470</v>
      </c>
      <c r="J35" s="204"/>
      <c r="L35" s="199"/>
      <c r="M35" s="199"/>
      <c r="N35" s="199"/>
      <c r="O35" s="199"/>
      <c r="P35" s="199"/>
      <c r="Q35" s="199"/>
      <c r="R35" s="9"/>
      <c r="S35" s="9"/>
      <c r="T35" s="9"/>
      <c r="U35" s="219"/>
      <c r="V35" s="219"/>
      <c r="W35" s="219"/>
      <c r="X35" s="219"/>
    </row>
    <row r="36" spans="2:24" ht="18" x14ac:dyDescent="0.25">
      <c r="B36" s="205" t="s">
        <v>92</v>
      </c>
      <c r="C36" s="295" t="s">
        <v>506</v>
      </c>
      <c r="D36" s="207">
        <v>0</v>
      </c>
      <c r="E36" s="207"/>
      <c r="F36" s="212">
        <v>0</v>
      </c>
      <c r="G36" s="177">
        <v>1.4E-2</v>
      </c>
      <c r="H36" s="212">
        <v>2.1999999999999999E-2</v>
      </c>
      <c r="I36" s="296">
        <f>D36+E36*0+F36*'Dados auxiliares'!$D$7+G36*'Dados auxiliares'!$D$8+H36*'Dados auxiliares'!$D$9</f>
        <v>6.2220000000000004</v>
      </c>
      <c r="J36" s="209" t="s">
        <v>266</v>
      </c>
      <c r="L36" s="199"/>
      <c r="M36" s="199"/>
      <c r="N36" s="199"/>
      <c r="O36" s="199"/>
      <c r="P36" s="199"/>
      <c r="Q36" s="199"/>
      <c r="R36" s="9"/>
      <c r="S36" s="9"/>
      <c r="T36" s="9"/>
      <c r="U36" s="219"/>
      <c r="V36" s="219"/>
      <c r="W36" s="219"/>
      <c r="X36" s="219"/>
    </row>
    <row r="37" spans="2:24" ht="18" x14ac:dyDescent="0.25">
      <c r="B37" s="205" t="s">
        <v>513</v>
      </c>
      <c r="C37" s="295" t="s">
        <v>506</v>
      </c>
      <c r="D37" s="207">
        <v>0</v>
      </c>
      <c r="E37" s="207"/>
      <c r="F37" s="212">
        <v>0</v>
      </c>
      <c r="G37" s="177">
        <v>1.4E-2</v>
      </c>
      <c r="H37" s="212">
        <v>2.1999999999999999E-2</v>
      </c>
      <c r="I37" s="296">
        <f>D37+E37*0+F37*'Dados auxiliares'!$D$7+G37*'Dados auxiliares'!$D$8+H37*'Dados auxiliares'!$D$9</f>
        <v>6.2220000000000004</v>
      </c>
      <c r="J37" s="209" t="s">
        <v>266</v>
      </c>
      <c r="L37" s="199"/>
      <c r="M37" s="199"/>
      <c r="N37" s="199"/>
      <c r="O37" s="199"/>
      <c r="P37" s="199"/>
      <c r="Q37" s="199"/>
      <c r="R37" s="9"/>
      <c r="S37" s="9"/>
      <c r="T37" s="9"/>
      <c r="U37" s="219"/>
      <c r="V37" s="219"/>
      <c r="W37" s="219"/>
      <c r="X37" s="219"/>
    </row>
    <row r="38" spans="2:24" ht="18" x14ac:dyDescent="0.25">
      <c r="B38" s="205" t="s">
        <v>523</v>
      </c>
      <c r="C38" s="295" t="s">
        <v>506</v>
      </c>
      <c r="D38" s="207">
        <v>0</v>
      </c>
      <c r="E38" s="207"/>
      <c r="F38" s="212">
        <v>0</v>
      </c>
      <c r="G38" s="177">
        <v>1.4E-2</v>
      </c>
      <c r="H38" s="212">
        <v>2.1999999999999999E-2</v>
      </c>
      <c r="I38" s="296">
        <f>D38+E38*0+F38*'Dados auxiliares'!$D$7+G38*'Dados auxiliares'!$D$8+H38*'Dados auxiliares'!$D$9</f>
        <v>6.2220000000000004</v>
      </c>
      <c r="J38" s="209" t="s">
        <v>266</v>
      </c>
      <c r="L38" s="199"/>
      <c r="M38" s="199"/>
      <c r="N38" s="199"/>
      <c r="O38" s="199"/>
      <c r="P38" s="199"/>
      <c r="Q38" s="199"/>
      <c r="R38" s="9"/>
      <c r="S38" s="9"/>
      <c r="T38" s="9"/>
      <c r="U38" s="219"/>
      <c r="V38" s="219"/>
      <c r="W38" s="219"/>
      <c r="X38" s="219"/>
    </row>
    <row r="39" spans="2:24" ht="18" x14ac:dyDescent="0.25">
      <c r="B39" s="205" t="s">
        <v>347</v>
      </c>
      <c r="C39" s="295" t="s">
        <v>506</v>
      </c>
      <c r="D39" s="207">
        <v>0</v>
      </c>
      <c r="E39" s="207"/>
      <c r="F39" s="212">
        <v>0</v>
      </c>
      <c r="G39" s="177">
        <v>1.4E-2</v>
      </c>
      <c r="H39" s="212">
        <v>2.1999999999999999E-2</v>
      </c>
      <c r="I39" s="296">
        <f>D39+E39*0+F39*'Dados auxiliares'!$D$7+G39*'Dados auxiliares'!$D$8+H39*'Dados auxiliares'!$D$9</f>
        <v>6.2220000000000004</v>
      </c>
      <c r="J39" s="209" t="s">
        <v>266</v>
      </c>
      <c r="L39" s="199"/>
      <c r="M39" s="199"/>
      <c r="N39" s="199"/>
      <c r="O39" s="199"/>
      <c r="P39" s="199"/>
      <c r="Q39" s="199"/>
      <c r="R39" s="9"/>
      <c r="S39" s="9"/>
      <c r="T39" s="9"/>
      <c r="U39" s="219"/>
      <c r="V39" s="219"/>
      <c r="W39" s="219"/>
      <c r="X39" s="219"/>
    </row>
    <row r="40" spans="2:24" ht="18" x14ac:dyDescent="0.25">
      <c r="B40" s="205" t="s">
        <v>466</v>
      </c>
      <c r="C40" s="295" t="s">
        <v>506</v>
      </c>
      <c r="D40" s="207">
        <v>0</v>
      </c>
      <c r="E40" s="207"/>
      <c r="F40" s="212">
        <v>0</v>
      </c>
      <c r="G40" s="177">
        <v>1.4E-2</v>
      </c>
      <c r="H40" s="212">
        <v>2.1999999999999999E-2</v>
      </c>
      <c r="I40" s="296">
        <f>D40+E40*0+F40*'Dados auxiliares'!$D$7+G40*'Dados auxiliares'!$D$8+H40*'Dados auxiliares'!$D$9</f>
        <v>6.2220000000000004</v>
      </c>
      <c r="J40" s="209" t="s">
        <v>266</v>
      </c>
      <c r="L40" s="199"/>
      <c r="M40" s="199"/>
      <c r="N40" s="199"/>
      <c r="O40" s="199"/>
      <c r="P40" s="199"/>
      <c r="Q40" s="199"/>
      <c r="R40" s="9"/>
      <c r="S40" s="9"/>
      <c r="T40" s="9"/>
      <c r="U40" s="219"/>
      <c r="V40" s="219"/>
      <c r="W40" s="219"/>
      <c r="X40" s="219"/>
    </row>
    <row r="41" spans="2:24" x14ac:dyDescent="0.25">
      <c r="B41" s="205" t="s">
        <v>514</v>
      </c>
      <c r="C41" s="295" t="s">
        <v>29</v>
      </c>
      <c r="D41" s="207">
        <v>0</v>
      </c>
      <c r="E41" s="207">
        <v>54.6</v>
      </c>
      <c r="F41" s="212">
        <v>0</v>
      </c>
      <c r="G41" s="177">
        <v>1E-3</v>
      </c>
      <c r="H41" s="212">
        <v>1E-4</v>
      </c>
      <c r="I41" s="296">
        <f>D41*'Dados auxiliares'!$D$6+E41*0+F41*'Dados auxiliares'!$D$7+G41*'Dados auxiliares'!$D$8+H41*'Dados auxiliares'!$D$9</f>
        <v>5.4500000000000007E-2</v>
      </c>
      <c r="J41" s="209" t="s">
        <v>253</v>
      </c>
      <c r="L41" s="199"/>
      <c r="M41" s="199"/>
      <c r="N41" s="199"/>
      <c r="O41" s="199"/>
      <c r="P41" s="199"/>
      <c r="Q41" s="199"/>
      <c r="R41" s="9"/>
      <c r="S41" s="9"/>
      <c r="T41" s="9"/>
      <c r="U41" s="402"/>
      <c r="V41" s="402"/>
      <c r="W41" s="402"/>
      <c r="X41" s="402"/>
    </row>
    <row r="42" spans="2:24" x14ac:dyDescent="0.25">
      <c r="B42" s="205" t="s">
        <v>514</v>
      </c>
      <c r="C42" s="295" t="s">
        <v>1</v>
      </c>
      <c r="D42" s="207">
        <v>0</v>
      </c>
      <c r="E42" s="207">
        <f>E43/('Dados auxiliares'!$D$18*1000)</f>
        <v>3565.6441706645842</v>
      </c>
      <c r="F42" s="212">
        <v>0</v>
      </c>
      <c r="G42" s="177">
        <f>0.061</f>
        <v>6.0999999999999999E-2</v>
      </c>
      <c r="H42" s="212">
        <f>0.061</f>
        <v>6.0999999999999999E-2</v>
      </c>
      <c r="I42" s="296">
        <f>D42+E42*0+F42*'Dados auxiliares'!$D$7+G42*'Dados auxiliares'!$D$8+H42*'Dados auxiliares'!$D$9</f>
        <v>17.872999999999998</v>
      </c>
      <c r="J42" s="209" t="s">
        <v>515</v>
      </c>
      <c r="K42" s="10" t="s">
        <v>927</v>
      </c>
      <c r="L42" s="199"/>
      <c r="M42" s="199"/>
      <c r="N42" s="199"/>
      <c r="O42" s="199"/>
      <c r="P42" s="199"/>
      <c r="Q42" s="199"/>
      <c r="R42" s="9"/>
      <c r="S42" s="9"/>
      <c r="T42" s="9"/>
      <c r="U42" s="219"/>
      <c r="V42" s="219"/>
      <c r="W42" s="219"/>
      <c r="X42" s="219"/>
    </row>
    <row r="43" spans="2:24" x14ac:dyDescent="0.25">
      <c r="B43" s="205" t="s">
        <v>514</v>
      </c>
      <c r="C43" s="295" t="s">
        <v>169</v>
      </c>
      <c r="D43" s="207">
        <v>0</v>
      </c>
      <c r="E43" s="207">
        <f>$E$66</f>
        <v>2701.3513513513512</v>
      </c>
      <c r="F43" s="212">
        <v>0</v>
      </c>
      <c r="G43" s="177">
        <f>G42*('Dados auxiliares'!$D$18*1000)</f>
        <v>4.6213930651896593E-2</v>
      </c>
      <c r="H43" s="212">
        <f>H42*('Dados auxiliares'!$D$18*1000)</f>
        <v>4.6213930651896593E-2</v>
      </c>
      <c r="I43" s="296">
        <f>D43+E43*0+F43*'Dados auxiliares'!$D$7+G43*'Dados auxiliares'!$D$8+H43*'Dados auxiliares'!$D$9</f>
        <v>13.540681681005701</v>
      </c>
      <c r="J43" s="209" t="s">
        <v>515</v>
      </c>
      <c r="K43" s="10" t="s">
        <v>927</v>
      </c>
      <c r="L43" s="199"/>
      <c r="M43" s="199"/>
      <c r="N43" s="199"/>
      <c r="O43" s="199"/>
      <c r="P43" s="199"/>
      <c r="Q43" s="199"/>
      <c r="R43" s="9"/>
      <c r="S43" s="9"/>
      <c r="T43" s="9"/>
      <c r="U43" s="219"/>
      <c r="V43" s="219"/>
      <c r="W43" s="219"/>
      <c r="X43" s="219"/>
    </row>
    <row r="44" spans="2:24" x14ac:dyDescent="0.25">
      <c r="B44" s="205" t="s">
        <v>855</v>
      </c>
      <c r="C44" s="295" t="s">
        <v>29</v>
      </c>
      <c r="D44" s="207">
        <f>D41</f>
        <v>0</v>
      </c>
      <c r="E44" s="207">
        <f t="shared" ref="E44:I44" si="0">E41</f>
        <v>54.6</v>
      </c>
      <c r="F44" s="212">
        <f t="shared" si="0"/>
        <v>0</v>
      </c>
      <c r="G44" s="177">
        <f t="shared" si="0"/>
        <v>1E-3</v>
      </c>
      <c r="H44" s="212">
        <f t="shared" si="0"/>
        <v>1E-4</v>
      </c>
      <c r="I44" s="296">
        <f t="shared" si="0"/>
        <v>5.4500000000000007E-2</v>
      </c>
      <c r="J44" s="209" t="s">
        <v>253</v>
      </c>
      <c r="L44" s="199"/>
      <c r="M44" s="199"/>
      <c r="N44" s="199"/>
      <c r="O44" s="199"/>
      <c r="P44" s="199"/>
      <c r="Q44" s="199"/>
      <c r="R44" s="9"/>
      <c r="S44" s="9"/>
      <c r="T44" s="9"/>
      <c r="U44" s="402"/>
      <c r="V44" s="402"/>
      <c r="W44" s="402"/>
      <c r="X44" s="402"/>
    </row>
    <row r="45" spans="2:24" x14ac:dyDescent="0.25">
      <c r="B45" s="205" t="s">
        <v>103</v>
      </c>
      <c r="C45" s="295" t="s">
        <v>29</v>
      </c>
      <c r="D45" s="208">
        <v>56.1</v>
      </c>
      <c r="E45" s="207">
        <v>0</v>
      </c>
      <c r="F45" s="212">
        <v>5.0000000000000001E-3</v>
      </c>
      <c r="G45" s="298">
        <v>0</v>
      </c>
      <c r="H45" s="212">
        <v>1E-4</v>
      </c>
      <c r="I45" s="296">
        <f>D45+E45*0+F45*'Dados auxiliares'!$D$7+G45*'Dados auxiliares'!$D$8+H45*'Dados auxiliares'!$D$9</f>
        <v>56.276499999999999</v>
      </c>
      <c r="J45" s="209" t="s">
        <v>253</v>
      </c>
      <c r="L45" s="199"/>
      <c r="M45" s="199"/>
      <c r="N45" s="199"/>
      <c r="O45" s="199"/>
      <c r="P45" s="199"/>
      <c r="Q45" s="199"/>
      <c r="R45" s="9"/>
      <c r="S45" s="9"/>
      <c r="T45" s="9"/>
      <c r="U45" s="219"/>
      <c r="V45" s="219"/>
      <c r="W45" s="219"/>
      <c r="X45" s="219"/>
    </row>
    <row r="46" spans="2:24" x14ac:dyDescent="0.25">
      <c r="B46" s="205" t="s">
        <v>103</v>
      </c>
      <c r="C46" s="295" t="s">
        <v>1</v>
      </c>
      <c r="D46" s="174">
        <f>D45*'Dados auxiliares'!$F$27</f>
        <v>2066.9394240000001</v>
      </c>
      <c r="E46" s="174">
        <f>E45*'Dados auxiliares'!$F$27</f>
        <v>0</v>
      </c>
      <c r="F46" s="224">
        <f>F45*'Dados auxiliares'!$F$27</f>
        <v>0.1842192</v>
      </c>
      <c r="G46" s="210">
        <f>G45*'Dados auxiliares'!$F$27</f>
        <v>0</v>
      </c>
      <c r="H46" s="210">
        <f>H45*'Dados auxiliares'!$F$27</f>
        <v>3.6843840000000002E-3</v>
      </c>
      <c r="I46" s="296">
        <f>D46+E46*0+F46*'Dados auxiliares'!$D$7+G46*'Dados auxiliares'!$D$8+H46*'Dados auxiliares'!$D$9</f>
        <v>2073.4423617600005</v>
      </c>
      <c r="J46" s="209" t="s">
        <v>253</v>
      </c>
    </row>
    <row r="47" spans="2:24" x14ac:dyDescent="0.25">
      <c r="B47" s="205" t="s">
        <v>95</v>
      </c>
      <c r="C47" s="295" t="s">
        <v>29</v>
      </c>
      <c r="D47" s="208">
        <v>63.1</v>
      </c>
      <c r="E47" s="207">
        <v>0</v>
      </c>
      <c r="F47" s="212">
        <v>1.5E-3</v>
      </c>
      <c r="G47" s="298">
        <v>0</v>
      </c>
      <c r="H47" s="212">
        <v>1E-4</v>
      </c>
      <c r="I47" s="296">
        <f>D47+E47*0+F47*'Dados auxiliares'!$D$7+G47*'Dados auxiliares'!$D$8+H47*'Dados auxiliares'!$D$9</f>
        <v>63.171500000000002</v>
      </c>
      <c r="J47" s="209" t="s">
        <v>253</v>
      </c>
      <c r="L47" s="199"/>
      <c r="M47" s="199"/>
      <c r="N47" s="199"/>
      <c r="O47" s="199"/>
      <c r="P47" s="199"/>
      <c r="Q47" s="199"/>
      <c r="R47" s="9"/>
      <c r="S47" s="9"/>
      <c r="T47" s="9"/>
      <c r="U47" s="219"/>
      <c r="V47" s="219"/>
      <c r="W47" s="219"/>
      <c r="X47" s="219"/>
    </row>
    <row r="48" spans="2:24" x14ac:dyDescent="0.25">
      <c r="B48" s="205" t="s">
        <v>95</v>
      </c>
      <c r="C48" s="295" t="s">
        <v>1</v>
      </c>
      <c r="D48" s="174">
        <f>D47*'Dados auxiliares'!$F$29</f>
        <v>2932.476588</v>
      </c>
      <c r="E48" s="174">
        <f>E47*'Dados auxiliares'!$F$29</f>
        <v>0</v>
      </c>
      <c r="F48" s="224">
        <f>F47*'Dados auxiliares'!$F$29</f>
        <v>6.9710220000000003E-2</v>
      </c>
      <c r="G48" s="210">
        <f>G47*'Dados auxiliares'!$F$29</f>
        <v>0</v>
      </c>
      <c r="H48" s="210">
        <f>H47*'Dados auxiliares'!$F$29</f>
        <v>4.6473480000000008E-3</v>
      </c>
      <c r="I48" s="296">
        <f>D48+E48*0+F48*'Dados auxiliares'!$D$7+G48*'Dados auxiliares'!$D$8+H48*'Dados auxiliares'!$D$9</f>
        <v>2935.7994418199996</v>
      </c>
      <c r="J48" s="209" t="s">
        <v>253</v>
      </c>
    </row>
    <row r="49" spans="2:36" x14ac:dyDescent="0.25">
      <c r="B49" s="205" t="s">
        <v>245</v>
      </c>
      <c r="C49" s="295" t="s">
        <v>29</v>
      </c>
      <c r="D49" s="207">
        <v>94.6</v>
      </c>
      <c r="E49" s="207">
        <v>0</v>
      </c>
      <c r="F49" s="212">
        <v>0.3</v>
      </c>
      <c r="G49" s="298">
        <v>0</v>
      </c>
      <c r="H49" s="212">
        <v>1.5E-3</v>
      </c>
      <c r="I49" s="296">
        <f>D49+E49*0+F49*'Dados auxiliares'!$D$7+G49*'Dados auxiliares'!$D$8+H49*'Dados auxiliares'!$D$9</f>
        <v>103.99749999999999</v>
      </c>
      <c r="J49" s="209" t="s">
        <v>253</v>
      </c>
      <c r="L49" s="199"/>
      <c r="M49" s="199"/>
      <c r="N49" s="199"/>
      <c r="O49" s="199"/>
      <c r="P49" s="199"/>
      <c r="Q49" s="199"/>
      <c r="R49" s="9"/>
      <c r="S49" s="9"/>
      <c r="T49" s="9"/>
      <c r="U49" s="219"/>
      <c r="V49" s="219"/>
      <c r="W49" s="219"/>
      <c r="X49" s="219"/>
    </row>
    <row r="50" spans="2:36" x14ac:dyDescent="0.25">
      <c r="B50" s="205" t="s">
        <v>478</v>
      </c>
      <c r="C50" s="295" t="s">
        <v>1</v>
      </c>
      <c r="D50" s="207">
        <v>3133.7</v>
      </c>
      <c r="E50" s="207">
        <v>0</v>
      </c>
      <c r="F50" s="212">
        <v>0.127</v>
      </c>
      <c r="G50" s="298">
        <v>0</v>
      </c>
      <c r="H50" s="212">
        <v>2.5000000000000001E-2</v>
      </c>
      <c r="I50" s="296">
        <f>D50+E50*0+F50*'Dados auxiliares'!$D$7+G50*'Dados auxiliares'!$D$8+H50*'Dados auxiliares'!$D$9</f>
        <v>3144.1349999999998</v>
      </c>
      <c r="J50" s="209" t="s">
        <v>253</v>
      </c>
      <c r="L50" s="199"/>
      <c r="M50" s="199"/>
      <c r="N50" s="199"/>
      <c r="O50" s="199"/>
      <c r="P50" s="199"/>
      <c r="Q50" s="199"/>
      <c r="R50" s="9"/>
      <c r="S50" s="9"/>
      <c r="T50" s="9"/>
      <c r="U50" s="219"/>
      <c r="V50" s="219"/>
      <c r="W50" s="219"/>
      <c r="X50" s="219"/>
    </row>
    <row r="51" spans="2:36" x14ac:dyDescent="0.25">
      <c r="B51" s="205" t="s">
        <v>426</v>
      </c>
      <c r="C51" s="295" t="s">
        <v>1</v>
      </c>
      <c r="D51" s="207">
        <v>0</v>
      </c>
      <c r="E51" s="335">
        <f>E65</f>
        <v>2762.5</v>
      </c>
      <c r="F51" s="212">
        <v>0</v>
      </c>
      <c r="G51" s="336">
        <f>F50</f>
        <v>0.127</v>
      </c>
      <c r="H51" s="337">
        <f>H50</f>
        <v>2.5000000000000001E-2</v>
      </c>
      <c r="I51" s="296">
        <f>D51+E51*0+F51*'Dados auxiliares'!$D$7+G51*'Dados auxiliares'!$D$8+H51*'Dados auxiliares'!$D$9</f>
        <v>10.181000000000001</v>
      </c>
      <c r="J51" s="209" t="s">
        <v>316</v>
      </c>
      <c r="L51" s="199"/>
      <c r="M51" s="199"/>
      <c r="N51" s="199"/>
      <c r="O51" s="199"/>
      <c r="P51" s="199"/>
      <c r="Q51" s="199"/>
      <c r="R51" s="9"/>
      <c r="S51" s="9"/>
      <c r="T51" s="9"/>
      <c r="U51" s="219"/>
      <c r="V51" s="219"/>
      <c r="W51" s="219"/>
      <c r="X51" s="219"/>
    </row>
    <row r="52" spans="2:36" x14ac:dyDescent="0.25">
      <c r="B52" s="205" t="s">
        <v>845</v>
      </c>
      <c r="C52" s="295" t="s">
        <v>29</v>
      </c>
      <c r="D52" s="207">
        <v>77.400000000000006</v>
      </c>
      <c r="E52" s="335">
        <v>0</v>
      </c>
      <c r="F52" s="212">
        <v>3.0000000000000001E-3</v>
      </c>
      <c r="G52" s="336">
        <v>0</v>
      </c>
      <c r="H52" s="337">
        <v>5.9999999999999995E-4</v>
      </c>
      <c r="I52" s="296">
        <f>D52+E52*0+F52*'Dados auxiliares'!$D$7+G52*'Dados auxiliares'!$D$8+H52*'Dados auxiliares'!$D$9</f>
        <v>77.649000000000015</v>
      </c>
      <c r="J52" s="209" t="s">
        <v>253</v>
      </c>
      <c r="L52" s="199"/>
      <c r="M52" s="199"/>
      <c r="N52" s="199"/>
      <c r="O52" s="199"/>
      <c r="P52" s="199"/>
      <c r="Q52" s="199"/>
      <c r="R52" s="9"/>
      <c r="S52" s="9"/>
      <c r="T52" s="9"/>
      <c r="U52" s="402"/>
      <c r="V52" s="402"/>
      <c r="W52" s="402"/>
      <c r="X52" s="402"/>
    </row>
    <row r="53" spans="2:36" x14ac:dyDescent="0.25">
      <c r="B53" s="205" t="s">
        <v>845</v>
      </c>
      <c r="C53" s="295" t="s">
        <v>1</v>
      </c>
      <c r="D53" s="207">
        <f>D52*'Dados auxiliares'!$F$30</f>
        <v>3107.7192888000004</v>
      </c>
      <c r="E53" s="335">
        <f>E52*'Dados auxiliares'!$F$30</f>
        <v>0</v>
      </c>
      <c r="F53" s="212">
        <f>F52*'Dados auxiliares'!$F$30</f>
        <v>0.12045423600000001</v>
      </c>
      <c r="G53" s="336">
        <f>G52*'Dados auxiliares'!$F$30</f>
        <v>0</v>
      </c>
      <c r="H53" s="337">
        <f>H52*'Dados auxiliares'!$F$30</f>
        <v>2.4090847199999998E-2</v>
      </c>
      <c r="I53" s="296">
        <f>D53+E53*0+F53*'Dados auxiliares'!$D$7+G53*'Dados auxiliares'!$D$8+H53*'Dados auxiliares'!$D$9</f>
        <v>3117.7169903880003</v>
      </c>
      <c r="J53" s="209" t="s">
        <v>253</v>
      </c>
      <c r="L53" s="199"/>
      <c r="M53" s="199"/>
      <c r="N53" s="199"/>
      <c r="O53" s="199"/>
      <c r="P53" s="199"/>
      <c r="Q53" s="199"/>
      <c r="R53" s="9"/>
      <c r="S53" s="9"/>
      <c r="T53" s="9"/>
      <c r="U53" s="402"/>
      <c r="V53" s="402"/>
      <c r="W53" s="402"/>
      <c r="X53" s="402"/>
    </row>
    <row r="54" spans="2:36" x14ac:dyDescent="0.25">
      <c r="B54" s="205" t="s">
        <v>45</v>
      </c>
      <c r="C54" s="295" t="s">
        <v>29</v>
      </c>
      <c r="D54" s="207">
        <v>0</v>
      </c>
      <c r="E54" s="335">
        <v>79.599999999999994</v>
      </c>
      <c r="F54" s="212">
        <v>0</v>
      </c>
      <c r="G54" s="336">
        <v>3.0000000000000001E-3</v>
      </c>
      <c r="H54" s="337">
        <v>5.9999999999999995E-4</v>
      </c>
      <c r="I54" s="296">
        <f>D54+E54*0+F54*'Dados auxiliares'!$D$7+G54*'Dados auxiliares'!$D$8+H54*'Dados auxiliares'!$D$9</f>
        <v>0.24299999999999999</v>
      </c>
      <c r="J54" s="209" t="s">
        <v>253</v>
      </c>
      <c r="L54" s="199"/>
      <c r="M54" s="199"/>
      <c r="N54" s="199"/>
      <c r="O54" s="199"/>
      <c r="P54" s="199"/>
      <c r="Q54" s="199"/>
      <c r="R54" s="9"/>
      <c r="S54" s="9"/>
      <c r="T54" s="9"/>
      <c r="U54" s="402"/>
      <c r="V54" s="402"/>
      <c r="W54" s="402"/>
      <c r="X54" s="402"/>
    </row>
    <row r="55" spans="2:36" x14ac:dyDescent="0.25">
      <c r="B55" s="205" t="s">
        <v>45</v>
      </c>
      <c r="C55" s="295" t="s">
        <v>1</v>
      </c>
      <c r="D55" s="207">
        <f>D54*'Dados auxiliares'!$F$15</f>
        <v>0</v>
      </c>
      <c r="E55" s="335">
        <f>E54*'Dados auxiliares'!$F$15</f>
        <v>2249.5676400000002</v>
      </c>
      <c r="F55" s="212">
        <f>F54*'Dados auxiliares'!$F$15</f>
        <v>0</v>
      </c>
      <c r="G55" s="336">
        <f>G54*'Dados auxiliares'!$F$15</f>
        <v>8.4782700000000016E-2</v>
      </c>
      <c r="H55" s="337">
        <f>H54*'Dados auxiliares'!$F$15</f>
        <v>1.6956539999999999E-2</v>
      </c>
      <c r="I55" s="296">
        <f>D55+E55*0+F55*'Dados auxiliares'!$D$7+G55*'Dados auxiliares'!$D$8+H55*'Dados auxiliares'!$D$9</f>
        <v>6.8673987000000007</v>
      </c>
      <c r="J55" s="209" t="s">
        <v>253</v>
      </c>
      <c r="L55" s="199"/>
      <c r="M55" s="199"/>
      <c r="N55" s="199"/>
      <c r="O55" s="199"/>
      <c r="P55" s="199"/>
      <c r="Q55" s="199"/>
      <c r="R55" s="9"/>
      <c r="S55" s="9"/>
      <c r="T55" s="9"/>
      <c r="U55" s="402"/>
      <c r="V55" s="402"/>
      <c r="W55" s="402"/>
      <c r="X55" s="402"/>
    </row>
    <row r="56" spans="2:36" x14ac:dyDescent="0.25">
      <c r="B56" s="205" t="s">
        <v>46</v>
      </c>
      <c r="C56" s="295" t="s">
        <v>29</v>
      </c>
      <c r="D56" s="207">
        <v>0</v>
      </c>
      <c r="E56" s="335">
        <v>79.599999999999994</v>
      </c>
      <c r="F56" s="212">
        <v>0</v>
      </c>
      <c r="G56" s="336">
        <v>3.0000000000000001E-3</v>
      </c>
      <c r="H56" s="337">
        <v>5.9999999999999995E-4</v>
      </c>
      <c r="I56" s="296">
        <f>D56+E56*0+F56*'Dados auxiliares'!$D$7+G56*'Dados auxiliares'!$D$8+H56*'Dados auxiliares'!$D$9</f>
        <v>0.24299999999999999</v>
      </c>
      <c r="J56" s="209" t="s">
        <v>253</v>
      </c>
      <c r="L56" s="199"/>
      <c r="M56" s="199"/>
      <c r="N56" s="199"/>
      <c r="O56" s="199"/>
      <c r="P56" s="199"/>
      <c r="Q56" s="199"/>
      <c r="R56" s="9"/>
      <c r="S56" s="9"/>
      <c r="T56" s="9"/>
      <c r="U56" s="402"/>
      <c r="V56" s="402"/>
      <c r="W56" s="402"/>
      <c r="X56" s="402"/>
    </row>
    <row r="57" spans="2:36" x14ac:dyDescent="0.25">
      <c r="B57" s="205" t="s">
        <v>46</v>
      </c>
      <c r="C57" s="295" t="s">
        <v>1</v>
      </c>
      <c r="D57" s="207">
        <f>D56*'Dados auxiliares'!$F$16</f>
        <v>0</v>
      </c>
      <c r="E57" s="335">
        <f>E56*'Dados auxiliares'!$F$16</f>
        <v>2099.5964639999997</v>
      </c>
      <c r="F57" s="212">
        <f>F56*'Dados auxiliares'!$F$16</f>
        <v>0</v>
      </c>
      <c r="G57" s="336">
        <f>G56*'Dados auxiliares'!$F$16</f>
        <v>7.913052000000001E-2</v>
      </c>
      <c r="H57" s="337">
        <f>H56*'Dados auxiliares'!$F$16</f>
        <v>1.5826104000000001E-2</v>
      </c>
      <c r="I57" s="296">
        <f>D57+E57*0+F57*'Dados auxiliares'!$D$7+G57*'Dados auxiliares'!$D$8+H57*'Dados auxiliares'!$D$9</f>
        <v>6.40957212</v>
      </c>
      <c r="J57" s="209" t="s">
        <v>253</v>
      </c>
      <c r="L57" s="199"/>
      <c r="M57" s="199"/>
      <c r="N57" s="199"/>
      <c r="O57" s="199"/>
      <c r="P57" s="199"/>
      <c r="Q57" s="199"/>
      <c r="R57" s="9"/>
      <c r="S57" s="9"/>
      <c r="T57" s="9"/>
      <c r="U57" s="402"/>
      <c r="V57" s="402"/>
      <c r="W57" s="402"/>
      <c r="X57" s="402"/>
    </row>
    <row r="58" spans="2:36" x14ac:dyDescent="0.25">
      <c r="B58" s="203"/>
      <c r="C58" s="203"/>
      <c r="D58" s="204"/>
      <c r="E58" s="204"/>
      <c r="F58" s="204"/>
      <c r="G58" s="204"/>
      <c r="H58" s="204"/>
      <c r="I58" s="204"/>
      <c r="J58" s="204"/>
      <c r="L58" s="199"/>
      <c r="M58" s="199"/>
      <c r="N58" s="199"/>
      <c r="O58" s="199"/>
      <c r="P58" s="199"/>
      <c r="Q58" s="199"/>
      <c r="R58" s="9"/>
      <c r="S58" s="9"/>
      <c r="T58" s="9"/>
      <c r="U58" s="219"/>
      <c r="V58" s="219"/>
      <c r="W58" s="219"/>
      <c r="X58" s="219"/>
    </row>
    <row r="59" spans="2:36" x14ac:dyDescent="0.25">
      <c r="B59" s="10"/>
      <c r="G59" s="199"/>
      <c r="H59" s="199"/>
      <c r="I59" s="199"/>
      <c r="J59" s="199"/>
      <c r="L59" s="199"/>
      <c r="M59" s="199"/>
      <c r="N59" s="199"/>
      <c r="O59" s="199"/>
      <c r="P59" s="199"/>
      <c r="Q59" s="199"/>
      <c r="R59" s="9"/>
      <c r="S59" s="9"/>
      <c r="T59" s="9"/>
      <c r="U59" s="9"/>
      <c r="V59" s="9"/>
      <c r="W59" s="9"/>
      <c r="X59" s="9"/>
    </row>
    <row r="60" spans="2:36" x14ac:dyDescent="0.25">
      <c r="B60" s="10"/>
      <c r="F60" s="199"/>
      <c r="G60" s="199"/>
      <c r="H60" s="199"/>
      <c r="I60" s="199"/>
      <c r="K60" s="199"/>
      <c r="L60" s="199"/>
      <c r="M60" s="199"/>
      <c r="N60" s="199"/>
      <c r="O60" s="199"/>
      <c r="P60" s="199"/>
      <c r="Q60" s="9"/>
      <c r="R60" s="9"/>
      <c r="S60" s="9"/>
      <c r="T60" s="9"/>
      <c r="U60" s="9"/>
      <c r="V60" s="9"/>
      <c r="W60" s="9"/>
    </row>
    <row r="61" spans="2:36" x14ac:dyDescent="0.25">
      <c r="B61" s="6" t="s">
        <v>481</v>
      </c>
      <c r="K61" s="199"/>
      <c r="L61" s="199"/>
      <c r="M61" s="199"/>
      <c r="N61" s="199"/>
      <c r="O61" s="199"/>
      <c r="P61" s="199"/>
      <c r="Q61" s="9"/>
      <c r="R61" s="9"/>
      <c r="S61" s="9"/>
      <c r="T61" s="9"/>
      <c r="U61" s="9"/>
      <c r="V61" s="9"/>
      <c r="W61" s="9"/>
      <c r="AJ61" s="198"/>
    </row>
    <row r="62" spans="2:36" ht="18" x14ac:dyDescent="0.25">
      <c r="B62" s="200" t="s">
        <v>479</v>
      </c>
      <c r="C62" s="200" t="s">
        <v>0</v>
      </c>
      <c r="D62" s="201" t="s">
        <v>471</v>
      </c>
      <c r="E62" s="201" t="s">
        <v>472</v>
      </c>
      <c r="F62" s="201" t="s">
        <v>473</v>
      </c>
      <c r="G62" s="201" t="s">
        <v>474</v>
      </c>
      <c r="H62" s="201" t="s">
        <v>475</v>
      </c>
      <c r="I62" s="201" t="s">
        <v>476</v>
      </c>
      <c r="J62" s="202" t="s">
        <v>477</v>
      </c>
      <c r="K62" s="199"/>
      <c r="L62" s="199"/>
      <c r="M62" s="199"/>
      <c r="N62" s="199"/>
      <c r="O62" s="199"/>
      <c r="P62" s="199"/>
      <c r="Q62" s="9"/>
      <c r="R62" s="9"/>
      <c r="S62" s="9"/>
      <c r="T62" s="9"/>
      <c r="U62" s="9"/>
      <c r="V62" s="9"/>
      <c r="W62" s="9"/>
      <c r="AJ62" s="198"/>
    </row>
    <row r="63" spans="2:36" x14ac:dyDescent="0.25">
      <c r="B63" s="203"/>
      <c r="C63" s="203"/>
      <c r="D63" s="204" t="s">
        <v>470</v>
      </c>
      <c r="E63" s="204" t="s">
        <v>470</v>
      </c>
      <c r="F63" s="204" t="s">
        <v>470</v>
      </c>
      <c r="G63" s="204" t="s">
        <v>470</v>
      </c>
      <c r="H63" s="204" t="s">
        <v>470</v>
      </c>
      <c r="I63" s="204" t="s">
        <v>470</v>
      </c>
      <c r="J63" s="204"/>
      <c r="K63" s="199"/>
      <c r="L63" s="199"/>
      <c r="M63" s="199"/>
      <c r="N63" s="199"/>
      <c r="O63" s="199"/>
      <c r="P63" s="199"/>
      <c r="Q63" s="9"/>
      <c r="R63" s="9"/>
      <c r="S63" s="9"/>
      <c r="T63" s="9"/>
      <c r="U63" s="9"/>
      <c r="V63" s="9"/>
      <c r="W63" s="9"/>
      <c r="AJ63" s="198"/>
    </row>
    <row r="64" spans="2:36" x14ac:dyDescent="0.25">
      <c r="B64" s="205" t="s">
        <v>478</v>
      </c>
      <c r="C64" s="295" t="s">
        <v>1</v>
      </c>
      <c r="D64" s="207">
        <v>3120</v>
      </c>
      <c r="E64" s="207">
        <v>0</v>
      </c>
      <c r="F64" s="208">
        <v>0.129</v>
      </c>
      <c r="G64" s="177">
        <v>0</v>
      </c>
      <c r="H64" s="208">
        <v>0.12</v>
      </c>
      <c r="I64" s="296">
        <f>D64+E64*0+F64*'Dados auxiliares'!$D$7+G64*'Dados auxiliares'!$D$8+H64*'Dados auxiliares'!$D$9</f>
        <v>3155.67</v>
      </c>
      <c r="J64" s="209" t="s">
        <v>480</v>
      </c>
      <c r="K64" s="199"/>
      <c r="L64" s="199"/>
      <c r="M64" s="199"/>
      <c r="N64" s="199"/>
      <c r="O64" s="199"/>
      <c r="P64" s="199"/>
      <c r="Q64" s="9"/>
      <c r="R64" s="9"/>
      <c r="S64" s="9"/>
      <c r="T64" s="9"/>
      <c r="U64" s="9"/>
      <c r="V64" s="9"/>
      <c r="W64" s="9"/>
      <c r="AJ64" s="198"/>
    </row>
    <row r="65" spans="2:10" x14ac:dyDescent="0.25">
      <c r="B65" s="205" t="s">
        <v>426</v>
      </c>
      <c r="C65" s="295" t="s">
        <v>1</v>
      </c>
      <c r="D65" s="174">
        <f>D6</f>
        <v>0</v>
      </c>
      <c r="E65" s="174">
        <f>E6</f>
        <v>2762.5</v>
      </c>
      <c r="F65" s="210">
        <f>F6</f>
        <v>0</v>
      </c>
      <c r="G65" s="210">
        <f>G6</f>
        <v>0.37681199999999992</v>
      </c>
      <c r="H65" s="210">
        <f>H6</f>
        <v>2.2608719999999999E-2</v>
      </c>
      <c r="I65" s="296">
        <f>D65+E65*0+F65*'Dados auxiliares'!$D$7+G65*'Dados auxiliares'!$D$8+H65*'Dados auxiliares'!$D$9</f>
        <v>16.542046799999998</v>
      </c>
      <c r="J65" s="209" t="s">
        <v>436</v>
      </c>
    </row>
    <row r="66" spans="2:10" x14ac:dyDescent="0.25">
      <c r="B66" s="205" t="s">
        <v>442</v>
      </c>
      <c r="C66" s="295" t="s">
        <v>169</v>
      </c>
      <c r="D66" s="174">
        <f>D12</f>
        <v>0</v>
      </c>
      <c r="E66" s="174">
        <f>E12</f>
        <v>2701.3513513513512</v>
      </c>
      <c r="F66" s="210">
        <f>F12</f>
        <v>0</v>
      </c>
      <c r="G66" s="210">
        <f>G12</f>
        <v>4.5945945945945947</v>
      </c>
      <c r="H66" s="210">
        <f>H12</f>
        <v>0.14864864864864866</v>
      </c>
      <c r="I66" s="296">
        <f>D66+E66*0+F66*'Dados auxiliares'!$D$7+G66*'Dados auxiliares'!$D$8+H66*'Dados auxiliares'!$D$9</f>
        <v>168.04054054054055</v>
      </c>
      <c r="J66" s="209" t="s">
        <v>436</v>
      </c>
    </row>
    <row r="67" spans="2:10" x14ac:dyDescent="0.25">
      <c r="B67" s="205" t="s">
        <v>103</v>
      </c>
      <c r="C67" s="295" t="s">
        <v>169</v>
      </c>
      <c r="D67" s="174">
        <f>D11</f>
        <v>2701.3513513513512</v>
      </c>
      <c r="E67" s="174">
        <f t="shared" ref="E67:H67" si="1">E11</f>
        <v>0</v>
      </c>
      <c r="F67" s="210">
        <f t="shared" si="1"/>
        <v>4.5945945945945947</v>
      </c>
      <c r="G67" s="210">
        <f t="shared" si="1"/>
        <v>0</v>
      </c>
      <c r="H67" s="210">
        <f t="shared" si="1"/>
        <v>0.14864864864864866</v>
      </c>
      <c r="I67" s="296">
        <f>D67+E67*0+F67*'Dados auxiliares'!$D$7+G67*'Dados auxiliares'!$D$8+H67*'Dados auxiliares'!$D$9</f>
        <v>2878.5810810810813</v>
      </c>
      <c r="J67" s="209" t="s">
        <v>436</v>
      </c>
    </row>
    <row r="68" spans="2:10" x14ac:dyDescent="0.25">
      <c r="B68" s="205" t="s">
        <v>95</v>
      </c>
      <c r="C68" s="295" t="s">
        <v>1</v>
      </c>
      <c r="D68" s="174">
        <f>D11</f>
        <v>2701.3513513513512</v>
      </c>
      <c r="E68" s="174">
        <f t="shared" ref="E68:H68" si="2">E11</f>
        <v>0</v>
      </c>
      <c r="F68" s="210">
        <f t="shared" si="2"/>
        <v>4.5945945945945947</v>
      </c>
      <c r="G68" s="210">
        <f t="shared" si="2"/>
        <v>0</v>
      </c>
      <c r="H68" s="210">
        <f t="shared" si="2"/>
        <v>0.14864864864864866</v>
      </c>
      <c r="I68" s="296">
        <f>D68+E68*0+F68*'Dados auxiliares'!$D$7+G68*'Dados auxiliares'!$D$8+H68*'Dados auxiliares'!$D$9</f>
        <v>2878.5810810810813</v>
      </c>
      <c r="J68" s="209" t="s">
        <v>436</v>
      </c>
    </row>
  </sheetData>
  <dataConsolidate/>
  <mergeCells count="1">
    <mergeCell ref="B19:C19"/>
  </mergeCells>
  <pageMargins left="0.511811024" right="0.511811024" top="0.78740157499999996" bottom="0.78740157499999996" header="0.31496062000000002" footer="0.31496062000000002"/>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Plan44">
    <tabColor rgb="FFB2B2B2"/>
  </sheetPr>
  <dimension ref="B2:OT96"/>
  <sheetViews>
    <sheetView showGridLines="0" topLeftCell="A31" workbookViewId="0">
      <selection activeCell="C50" sqref="C50"/>
    </sheetView>
  </sheetViews>
  <sheetFormatPr defaultColWidth="9.140625" defaultRowHeight="15" x14ac:dyDescent="0.25"/>
  <cols>
    <col min="1" max="1" width="2.85546875" style="71" customWidth="1"/>
    <col min="2" max="2" width="47.42578125" style="71" customWidth="1"/>
    <col min="3" max="3" width="30.7109375" style="474" customWidth="1"/>
    <col min="4" max="4" width="35.85546875" style="71" bestFit="1" customWidth="1"/>
    <col min="5" max="5" width="36.28515625" style="71" customWidth="1"/>
    <col min="6" max="6" width="44.140625" style="71" customWidth="1"/>
    <col min="7" max="7" width="35.85546875" style="71" customWidth="1"/>
    <col min="8" max="8" width="32" style="71" bestFit="1" customWidth="1"/>
    <col min="9" max="9" width="26.85546875" style="71" customWidth="1"/>
    <col min="10" max="10" width="29.140625" style="71" bestFit="1" customWidth="1"/>
    <col min="11" max="11" width="28.7109375" style="71" bestFit="1" customWidth="1"/>
    <col min="12" max="12" width="21.42578125" style="71" bestFit="1" customWidth="1"/>
    <col min="13" max="13" width="23.28515625" style="71" customWidth="1"/>
    <col min="14" max="14" width="18" style="71" bestFit="1" customWidth="1"/>
    <col min="15" max="15" width="21.7109375" style="71" customWidth="1"/>
    <col min="16" max="16" width="33.28515625" style="71" customWidth="1"/>
    <col min="17" max="17" width="18" style="71" bestFit="1" customWidth="1"/>
    <col min="18" max="18" width="21.28515625" style="71" customWidth="1"/>
    <col min="19" max="19" width="12" style="71" bestFit="1" customWidth="1"/>
    <col min="20" max="20" width="10.42578125" style="71" customWidth="1"/>
    <col min="21" max="21" width="10.28515625" style="71" customWidth="1"/>
    <col min="22" max="22" width="11.7109375" style="71" customWidth="1"/>
    <col min="23" max="23" width="10" style="71" customWidth="1"/>
    <col min="24" max="24" width="12.42578125" style="71" customWidth="1"/>
    <col min="25" max="25" width="10.5703125" style="71" bestFit="1" customWidth="1"/>
    <col min="26" max="27" width="9.140625" style="71"/>
    <col min="28" max="28" width="11.7109375" style="71" customWidth="1"/>
    <col min="29" max="33" width="9.140625" style="71"/>
    <col min="34" max="34" width="11.7109375" style="71" customWidth="1"/>
    <col min="35" max="35" width="9.5703125" style="71" bestFit="1" customWidth="1"/>
    <col min="36" max="16384" width="9.140625" style="71"/>
  </cols>
  <sheetData>
    <row r="2" spans="2:12" ht="18" x14ac:dyDescent="0.25">
      <c r="B2" s="463" t="s">
        <v>783</v>
      </c>
      <c r="C2" s="463"/>
      <c r="D2" s="463"/>
      <c r="F2" s="464"/>
      <c r="H2" s="464"/>
      <c r="I2" s="465"/>
      <c r="J2" s="464"/>
      <c r="K2" s="464"/>
      <c r="L2" s="464"/>
    </row>
    <row r="3" spans="2:12" s="474" customFormat="1" x14ac:dyDescent="0.25">
      <c r="B3" s="484" t="s">
        <v>263</v>
      </c>
      <c r="C3" s="485"/>
      <c r="D3" s="484"/>
      <c r="E3" s="71"/>
      <c r="F3" s="476"/>
      <c r="H3" s="476"/>
      <c r="I3" s="483"/>
      <c r="J3" s="476"/>
      <c r="K3" s="476"/>
      <c r="L3" s="476"/>
    </row>
    <row r="4" spans="2:12" s="474" customFormat="1" x14ac:dyDescent="0.25">
      <c r="B4" s="484"/>
      <c r="C4" s="485"/>
      <c r="D4" s="484"/>
      <c r="E4" s="71"/>
      <c r="F4" s="476"/>
      <c r="H4" s="476"/>
      <c r="I4" s="483"/>
      <c r="J4" s="476"/>
      <c r="K4" s="476"/>
      <c r="L4" s="476"/>
    </row>
    <row r="5" spans="2:12" ht="18" x14ac:dyDescent="0.25">
      <c r="B5" s="486" t="s">
        <v>784</v>
      </c>
      <c r="C5" s="487"/>
      <c r="D5" s="488"/>
      <c r="F5" s="464"/>
      <c r="G5" s="465"/>
      <c r="H5" s="464"/>
      <c r="I5" s="465"/>
      <c r="J5" s="464"/>
      <c r="K5" s="464"/>
      <c r="L5" s="464"/>
    </row>
    <row r="6" spans="2:12" x14ac:dyDescent="0.25">
      <c r="B6" s="486" t="s">
        <v>264</v>
      </c>
      <c r="C6" s="487"/>
      <c r="D6" s="488"/>
      <c r="E6" s="464"/>
      <c r="F6" s="464"/>
      <c r="G6" s="465"/>
      <c r="H6" s="464"/>
      <c r="I6" s="465"/>
      <c r="J6" s="464"/>
      <c r="K6" s="464"/>
      <c r="L6" s="464"/>
    </row>
    <row r="7" spans="2:12" ht="18" x14ac:dyDescent="0.25">
      <c r="B7" s="489" t="s">
        <v>785</v>
      </c>
      <c r="C7" s="487"/>
      <c r="D7" s="488"/>
      <c r="E7" s="464"/>
      <c r="F7" s="464"/>
      <c r="G7" s="465"/>
      <c r="H7" s="464"/>
      <c r="I7" s="465"/>
      <c r="J7" s="464"/>
      <c r="K7" s="464"/>
      <c r="L7" s="464"/>
    </row>
    <row r="8" spans="2:12" ht="18" x14ac:dyDescent="0.25">
      <c r="B8" s="489" t="s">
        <v>786</v>
      </c>
      <c r="C8" s="487"/>
      <c r="D8" s="488"/>
      <c r="E8" s="464"/>
      <c r="F8" s="464"/>
      <c r="G8" s="465"/>
      <c r="H8" s="464"/>
      <c r="I8" s="465"/>
      <c r="J8" s="464"/>
      <c r="K8" s="464"/>
      <c r="L8" s="464"/>
    </row>
    <row r="9" spans="2:12" ht="18" x14ac:dyDescent="0.25">
      <c r="B9" s="489" t="s">
        <v>787</v>
      </c>
      <c r="C9" s="487"/>
      <c r="D9" s="488"/>
      <c r="E9" s="466"/>
      <c r="F9" s="464"/>
      <c r="G9" s="465"/>
      <c r="H9" s="464"/>
      <c r="I9" s="465"/>
      <c r="J9" s="464"/>
      <c r="K9" s="464"/>
      <c r="L9" s="464"/>
    </row>
    <row r="10" spans="2:12" ht="18" x14ac:dyDescent="0.25">
      <c r="B10" s="489" t="s">
        <v>788</v>
      </c>
      <c r="C10" s="487"/>
      <c r="D10" s="488"/>
      <c r="F10" s="464"/>
      <c r="G10" s="465"/>
      <c r="H10" s="464"/>
      <c r="I10" s="465"/>
      <c r="J10" s="464"/>
      <c r="K10" s="464"/>
      <c r="L10" s="464"/>
    </row>
    <row r="11" spans="2:12" ht="18" x14ac:dyDescent="0.25">
      <c r="B11" s="489" t="s">
        <v>789</v>
      </c>
      <c r="C11" s="487"/>
      <c r="D11" s="488"/>
      <c r="F11" s="464"/>
      <c r="G11" s="465"/>
      <c r="H11" s="464"/>
      <c r="I11" s="465"/>
      <c r="J11" s="464"/>
      <c r="K11" s="464"/>
      <c r="L11" s="464"/>
    </row>
    <row r="12" spans="2:12" ht="18" x14ac:dyDescent="0.25">
      <c r="B12" s="489" t="s">
        <v>790</v>
      </c>
      <c r="C12" s="487"/>
      <c r="D12" s="488"/>
      <c r="E12" s="464"/>
      <c r="F12" s="464"/>
      <c r="G12" s="465"/>
      <c r="H12" s="464"/>
      <c r="I12" s="465"/>
      <c r="J12" s="464"/>
      <c r="K12" s="464"/>
      <c r="L12" s="464"/>
    </row>
    <row r="13" spans="2:12" ht="18" x14ac:dyDescent="0.25">
      <c r="B13" s="489" t="s">
        <v>791</v>
      </c>
      <c r="C13" s="487"/>
      <c r="D13" s="488"/>
      <c r="E13" s="464"/>
      <c r="F13" s="464"/>
      <c r="G13" s="465"/>
      <c r="H13" s="464"/>
      <c r="I13" s="465"/>
      <c r="J13" s="464"/>
      <c r="K13" s="464"/>
      <c r="L13" s="464"/>
    </row>
    <row r="14" spans="2:12" ht="18" x14ac:dyDescent="0.25">
      <c r="B14" s="489" t="s">
        <v>792</v>
      </c>
      <c r="C14" s="487"/>
      <c r="D14" s="488"/>
      <c r="E14" s="464"/>
      <c r="F14" s="464"/>
      <c r="G14" s="465"/>
      <c r="H14" s="464"/>
      <c r="I14" s="465"/>
      <c r="J14" s="464"/>
      <c r="K14" s="464"/>
      <c r="L14" s="464"/>
    </row>
    <row r="15" spans="2:12" x14ac:dyDescent="0.25">
      <c r="B15" s="489"/>
      <c r="C15" s="487"/>
      <c r="D15" s="488"/>
      <c r="E15" s="464"/>
      <c r="F15" s="464"/>
      <c r="G15" s="465"/>
      <c r="H15" s="464"/>
      <c r="I15" s="465"/>
      <c r="J15" s="464"/>
      <c r="K15" s="464"/>
      <c r="L15" s="464"/>
    </row>
    <row r="16" spans="2:12" ht="18" x14ac:dyDescent="0.25">
      <c r="B16" s="486" t="s">
        <v>793</v>
      </c>
      <c r="C16" s="487"/>
      <c r="D16" s="488"/>
      <c r="E16" s="464"/>
      <c r="F16" s="464"/>
      <c r="G16" s="465"/>
      <c r="H16" s="464"/>
      <c r="I16" s="465"/>
      <c r="J16" s="464"/>
      <c r="K16" s="464"/>
      <c r="L16" s="464"/>
    </row>
    <row r="17" spans="2:21" ht="18" x14ac:dyDescent="0.25">
      <c r="B17" s="486" t="s">
        <v>830</v>
      </c>
      <c r="C17" s="487"/>
      <c r="D17" s="488"/>
      <c r="E17" s="464"/>
      <c r="F17" s="464"/>
      <c r="G17" s="465"/>
      <c r="H17" s="464"/>
      <c r="I17" s="465"/>
      <c r="J17" s="464"/>
      <c r="K17" s="464"/>
      <c r="L17" s="464"/>
    </row>
    <row r="18" spans="2:21" x14ac:dyDescent="0.25">
      <c r="B18" s="486" t="s">
        <v>264</v>
      </c>
      <c r="C18" s="487"/>
      <c r="D18" s="488"/>
      <c r="E18" s="464"/>
      <c r="F18" s="464"/>
      <c r="G18" s="465"/>
      <c r="H18" s="464"/>
      <c r="I18" s="465"/>
      <c r="J18" s="464"/>
      <c r="K18" s="464"/>
      <c r="L18" s="464"/>
    </row>
    <row r="19" spans="2:21" ht="18" x14ac:dyDescent="0.25">
      <c r="B19" s="489" t="s">
        <v>794</v>
      </c>
      <c r="C19" s="487"/>
      <c r="D19" s="488"/>
      <c r="E19" s="464"/>
      <c r="F19" s="464"/>
      <c r="G19" s="465"/>
      <c r="H19" s="464"/>
      <c r="I19" s="465"/>
      <c r="J19" s="464"/>
      <c r="K19" s="464"/>
      <c r="L19" s="464"/>
    </row>
    <row r="20" spans="2:21" ht="18" x14ac:dyDescent="0.25">
      <c r="B20" s="489" t="s">
        <v>795</v>
      </c>
      <c r="C20" s="487"/>
      <c r="D20" s="488"/>
      <c r="E20" s="464"/>
      <c r="F20" s="464"/>
      <c r="G20" s="465"/>
      <c r="H20" s="464"/>
      <c r="I20" s="465"/>
      <c r="J20" s="464"/>
      <c r="K20" s="464"/>
      <c r="L20" s="464"/>
    </row>
    <row r="21" spans="2:21" ht="18" x14ac:dyDescent="0.25">
      <c r="B21" s="489" t="s">
        <v>796</v>
      </c>
      <c r="C21" s="487"/>
      <c r="D21" s="488"/>
      <c r="E21" s="464"/>
      <c r="F21" s="464"/>
      <c r="G21" s="465"/>
      <c r="H21" s="464"/>
      <c r="I21" s="465"/>
      <c r="J21" s="464"/>
      <c r="K21" s="464"/>
      <c r="L21" s="464"/>
    </row>
    <row r="22" spans="2:21" ht="18" x14ac:dyDescent="0.25">
      <c r="B22" s="489" t="s">
        <v>797</v>
      </c>
      <c r="C22" s="487"/>
      <c r="D22" s="488"/>
      <c r="E22" s="464"/>
      <c r="F22" s="464"/>
      <c r="G22" s="465"/>
      <c r="H22" s="464"/>
      <c r="I22" s="465"/>
      <c r="J22" s="464"/>
      <c r="K22" s="464"/>
      <c r="L22" s="464"/>
    </row>
    <row r="23" spans="2:21" x14ac:dyDescent="0.25">
      <c r="B23" s="489" t="s">
        <v>265</v>
      </c>
      <c r="C23" s="487"/>
      <c r="D23" s="488"/>
      <c r="E23" s="464"/>
      <c r="F23" s="464"/>
      <c r="G23" s="465"/>
      <c r="H23" s="464"/>
      <c r="I23" s="465"/>
      <c r="J23" s="464"/>
      <c r="K23" s="464"/>
      <c r="L23" s="464"/>
    </row>
    <row r="24" spans="2:21" ht="18" x14ac:dyDescent="0.25">
      <c r="B24" s="489" t="s">
        <v>798</v>
      </c>
      <c r="C24" s="487"/>
      <c r="D24" s="488"/>
      <c r="F24" s="464"/>
      <c r="G24" s="465"/>
      <c r="H24" s="464"/>
      <c r="I24" s="465"/>
      <c r="J24" s="464"/>
      <c r="K24" s="464"/>
      <c r="L24" s="464"/>
    </row>
    <row r="25" spans="2:21" x14ac:dyDescent="0.25">
      <c r="C25" s="71"/>
      <c r="F25" s="464"/>
      <c r="G25" s="467"/>
      <c r="H25" s="468"/>
      <c r="I25" s="468"/>
      <c r="J25" s="468"/>
      <c r="K25" s="468"/>
      <c r="L25" s="468"/>
      <c r="M25" s="468"/>
      <c r="N25" s="468"/>
      <c r="O25" s="468"/>
      <c r="P25" s="468"/>
      <c r="Q25" s="468"/>
      <c r="R25" s="240"/>
      <c r="S25" s="240"/>
      <c r="T25" s="240"/>
      <c r="U25" s="240"/>
    </row>
    <row r="26" spans="2:21" x14ac:dyDescent="0.25">
      <c r="C26" s="71"/>
      <c r="F26" s="464"/>
      <c r="G26" s="467"/>
      <c r="H26" s="468"/>
      <c r="I26" s="468"/>
      <c r="J26" s="468"/>
      <c r="K26" s="468"/>
      <c r="L26" s="468"/>
      <c r="M26" s="468"/>
      <c r="N26" s="468"/>
      <c r="O26" s="468"/>
      <c r="P26" s="468"/>
      <c r="Q26" s="468"/>
      <c r="R26" s="240"/>
      <c r="S26" s="240"/>
      <c r="T26" s="240"/>
      <c r="U26" s="240"/>
    </row>
    <row r="27" spans="2:21" x14ac:dyDescent="0.25">
      <c r="B27" s="463" t="s">
        <v>812</v>
      </c>
      <c r="C27" s="463"/>
      <c r="D27" s="463"/>
      <c r="E27" s="463"/>
      <c r="F27" s="505"/>
      <c r="G27" s="463"/>
      <c r="H27" s="463"/>
      <c r="I27" s="463"/>
      <c r="J27" s="463"/>
      <c r="K27" s="463"/>
      <c r="L27" s="468"/>
      <c r="M27" s="468"/>
      <c r="N27" s="468"/>
      <c r="O27" s="468"/>
      <c r="P27" s="468"/>
      <c r="Q27" s="468"/>
      <c r="R27" s="240"/>
      <c r="S27" s="240"/>
      <c r="T27" s="240"/>
      <c r="U27" s="240"/>
    </row>
    <row r="28" spans="2:21" x14ac:dyDescent="0.25">
      <c r="B28" s="490" t="s">
        <v>799</v>
      </c>
      <c r="C28" s="491"/>
      <c r="D28" s="487"/>
      <c r="E28" s="487"/>
      <c r="F28" s="506" t="s">
        <v>800</v>
      </c>
      <c r="G28" s="487"/>
      <c r="H28" s="493"/>
      <c r="I28" s="493"/>
      <c r="J28" s="493"/>
      <c r="K28" s="493"/>
      <c r="L28" s="468"/>
      <c r="M28" s="468"/>
      <c r="N28" s="468"/>
      <c r="O28" s="468"/>
      <c r="P28" s="468"/>
      <c r="Q28" s="468"/>
      <c r="R28" s="240"/>
      <c r="S28" s="240"/>
      <c r="T28" s="240"/>
      <c r="U28" s="240"/>
    </row>
    <row r="29" spans="2:21" x14ac:dyDescent="0.25">
      <c r="B29" s="490" t="s">
        <v>282</v>
      </c>
      <c r="C29" s="492"/>
      <c r="D29" s="492"/>
      <c r="E29" s="492"/>
      <c r="F29" s="506" t="s">
        <v>296</v>
      </c>
      <c r="G29" s="487"/>
      <c r="H29" s="492"/>
      <c r="I29" s="492"/>
      <c r="J29" s="494"/>
      <c r="K29" s="492"/>
      <c r="N29" s="468"/>
      <c r="O29" s="468"/>
      <c r="P29" s="468"/>
      <c r="Q29" s="468"/>
      <c r="R29" s="240"/>
      <c r="S29" s="240"/>
      <c r="T29" s="240"/>
      <c r="U29" s="240"/>
    </row>
    <row r="30" spans="2:21" x14ac:dyDescent="0.25">
      <c r="B30" s="471"/>
      <c r="C30" s="471" t="s">
        <v>269</v>
      </c>
      <c r="D30" s="471" t="s">
        <v>268</v>
      </c>
      <c r="E30" s="471" t="s">
        <v>272</v>
      </c>
      <c r="F30" s="507"/>
      <c r="G30" s="471" t="s">
        <v>270</v>
      </c>
      <c r="H30" s="471" t="s">
        <v>271</v>
      </c>
      <c r="I30" s="471" t="s">
        <v>267</v>
      </c>
      <c r="J30" s="507" t="s">
        <v>3</v>
      </c>
      <c r="K30" s="471" t="s">
        <v>337</v>
      </c>
      <c r="L30" s="468"/>
      <c r="M30" s="468"/>
      <c r="N30" s="468"/>
      <c r="O30" s="468"/>
      <c r="P30" s="468"/>
      <c r="Q30" s="468"/>
      <c r="R30" s="240"/>
      <c r="S30" s="240"/>
      <c r="T30" s="240"/>
      <c r="U30" s="240"/>
    </row>
    <row r="31" spans="2:21" x14ac:dyDescent="0.25">
      <c r="B31" s="495" t="s">
        <v>294</v>
      </c>
      <c r="C31" s="496">
        <v>0.3</v>
      </c>
      <c r="D31" s="496">
        <v>0.3</v>
      </c>
      <c r="E31" s="496">
        <v>0.3</v>
      </c>
      <c r="F31" s="508" t="s">
        <v>294</v>
      </c>
      <c r="G31" s="499">
        <f>(1-E1GM!$G$28)</f>
        <v>1</v>
      </c>
      <c r="H31" s="499">
        <f>1-'E1G Flex'!$G$93</f>
        <v>1</v>
      </c>
      <c r="I31" s="499">
        <f>(1-E1GMI!$G$28)</f>
        <v>1</v>
      </c>
      <c r="J31" s="510">
        <f>(1-Biodiesel!$G$86)</f>
        <v>1</v>
      </c>
      <c r="K31" s="500">
        <f>(1-CombAlterHEFA!$G$85)</f>
        <v>1</v>
      </c>
      <c r="L31" s="468"/>
      <c r="M31" s="468"/>
      <c r="N31" s="468"/>
      <c r="O31" s="468"/>
      <c r="P31" s="468"/>
      <c r="Q31" s="468"/>
      <c r="R31" s="240"/>
      <c r="S31" s="240"/>
      <c r="T31" s="240"/>
      <c r="U31" s="240"/>
    </row>
    <row r="32" spans="2:21" x14ac:dyDescent="0.25">
      <c r="B32" s="495" t="s">
        <v>297</v>
      </c>
      <c r="C32" s="497">
        <f>_E1GC!$D$13/1000</f>
        <v>63.529038799739595</v>
      </c>
      <c r="D32" s="497" t="e">
        <f>_E1G2G!$D$13/1000</f>
        <v>#DIV/0!</v>
      </c>
      <c r="E32" s="497" t="e">
        <f>'_E1G Flex'!$D$14/1000</f>
        <v>#DIV/0!</v>
      </c>
      <c r="F32" s="508" t="s">
        <v>297</v>
      </c>
      <c r="G32" s="500" t="e">
        <f>_E1GM!D13/1000</f>
        <v>#DIV/0!</v>
      </c>
      <c r="H32" s="500" t="e">
        <f>'_E1G Flex'!D92/1000</f>
        <v>#DIV/0!</v>
      </c>
      <c r="I32" s="500" t="e">
        <f>_E1GMI!D13/1000</f>
        <v>#DIV/0!</v>
      </c>
      <c r="J32" s="510" t="e">
        <f>_Biodiesel!$D$15/1000</f>
        <v>#DIV/0!</v>
      </c>
      <c r="K32" s="500" t="e">
        <f>_BioQavHEFA!$D$14/1000</f>
        <v>#DIV/0!</v>
      </c>
      <c r="L32" s="468"/>
      <c r="M32" s="468"/>
      <c r="N32" s="468"/>
      <c r="O32" s="468"/>
      <c r="P32" s="468"/>
      <c r="Q32" s="468"/>
      <c r="R32" s="240"/>
      <c r="S32" s="240"/>
      <c r="T32" s="240"/>
      <c r="U32" s="240"/>
    </row>
    <row r="33" spans="2:21" x14ac:dyDescent="0.25">
      <c r="B33" s="495" t="s">
        <v>273</v>
      </c>
      <c r="C33" s="497">
        <f>C32*C31</f>
        <v>19.058711639921878</v>
      </c>
      <c r="D33" s="497" t="e">
        <f>D32*D31</f>
        <v>#DIV/0!</v>
      </c>
      <c r="E33" s="497" t="e">
        <f>E32*E31</f>
        <v>#DIV/0!</v>
      </c>
      <c r="F33" s="508" t="s">
        <v>273</v>
      </c>
      <c r="G33" s="500" t="e">
        <f>G32*G31</f>
        <v>#DIV/0!</v>
      </c>
      <c r="H33" s="500" t="e">
        <f>H32*H31</f>
        <v>#DIV/0!</v>
      </c>
      <c r="I33" s="500" t="e">
        <f>I32*I31</f>
        <v>#DIV/0!</v>
      </c>
      <c r="J33" s="510" t="e">
        <f>J32*J31</f>
        <v>#DIV/0!</v>
      </c>
      <c r="K33" s="500" t="e">
        <f>K32*K31</f>
        <v>#DIV/0!</v>
      </c>
      <c r="L33" s="468"/>
      <c r="M33" s="468"/>
      <c r="N33" s="468"/>
      <c r="O33" s="468"/>
      <c r="P33" s="468"/>
      <c r="Q33" s="468"/>
      <c r="R33" s="240"/>
      <c r="S33" s="240"/>
      <c r="T33" s="240"/>
      <c r="U33" s="240"/>
    </row>
    <row r="34" spans="2:21" x14ac:dyDescent="0.25">
      <c r="B34" s="495" t="s">
        <v>281</v>
      </c>
      <c r="C34" s="496">
        <v>0.14000000000000001</v>
      </c>
      <c r="D34" s="496">
        <v>0.14000000000000001</v>
      </c>
      <c r="E34" s="496">
        <v>0.14000000000000001</v>
      </c>
      <c r="F34" s="508" t="s">
        <v>298</v>
      </c>
      <c r="G34" s="501" t="e">
        <f>(G33*1.03)+0.61</f>
        <v>#DIV/0!</v>
      </c>
      <c r="H34" s="501" t="e">
        <f>(H33*1.03)+0.61</f>
        <v>#DIV/0!</v>
      </c>
      <c r="I34" s="501" t="e">
        <f>(I33*1.03)+0.61</f>
        <v>#DIV/0!</v>
      </c>
      <c r="J34" s="511" t="e">
        <f>(J33*0.93)+1.35</f>
        <v>#DIV/0!</v>
      </c>
      <c r="K34" s="501" t="e">
        <f>(K33*0.93)+1.35</f>
        <v>#DIV/0!</v>
      </c>
      <c r="L34" s="468"/>
      <c r="M34" s="468"/>
      <c r="N34" s="468"/>
      <c r="O34" s="468"/>
      <c r="P34" s="468"/>
      <c r="Q34" s="468"/>
      <c r="R34" s="240"/>
      <c r="S34" s="240"/>
      <c r="T34" s="240"/>
      <c r="U34" s="240"/>
    </row>
    <row r="35" spans="2:21" ht="30" x14ac:dyDescent="0.25">
      <c r="B35" s="495" t="s">
        <v>298</v>
      </c>
      <c r="C35" s="497">
        <f>C34*C32</f>
        <v>8.8940654319635435</v>
      </c>
      <c r="D35" s="497" t="e">
        <f>D34*D32</f>
        <v>#DIV/0!</v>
      </c>
      <c r="E35" s="497" t="e">
        <f>E34*E32</f>
        <v>#DIV/0!</v>
      </c>
      <c r="F35" s="508" t="s">
        <v>300</v>
      </c>
      <c r="G35" s="502">
        <v>6.0000000000000001E-3</v>
      </c>
      <c r="H35" s="502">
        <v>6.0000000000000001E-3</v>
      </c>
      <c r="I35" s="502">
        <v>6.0000000000000001E-3</v>
      </c>
      <c r="J35" s="512">
        <v>8.0000000000000002E-3</v>
      </c>
      <c r="K35" s="502">
        <v>8.0000000000000002E-3</v>
      </c>
      <c r="L35" s="468"/>
      <c r="M35" s="468"/>
      <c r="N35" s="468"/>
      <c r="O35" s="468"/>
      <c r="P35" s="468"/>
      <c r="Q35" s="468"/>
      <c r="R35" s="240"/>
      <c r="S35" s="240"/>
      <c r="T35" s="240"/>
      <c r="U35" s="240"/>
    </row>
    <row r="36" spans="2:21" ht="30" x14ac:dyDescent="0.25">
      <c r="B36" s="495" t="s">
        <v>299</v>
      </c>
      <c r="C36" s="496">
        <v>4.7699999999999996</v>
      </c>
      <c r="D36" s="496">
        <v>4.7699999999999996</v>
      </c>
      <c r="E36" s="496">
        <v>4.7699999999999996</v>
      </c>
      <c r="F36" s="508" t="s">
        <v>295</v>
      </c>
      <c r="G36" s="503" t="e">
        <f>(E1GM!$D$30/E1GM!$D$26)/G34</f>
        <v>#DIV/0!</v>
      </c>
      <c r="H36" s="504">
        <v>0</v>
      </c>
      <c r="I36" s="503" t="e">
        <f>(E1GMI!$D$30/E1GMI!$D$26)/I34</f>
        <v>#DIV/0!</v>
      </c>
      <c r="J36" s="513">
        <v>0</v>
      </c>
      <c r="K36" s="504">
        <v>0</v>
      </c>
      <c r="L36" s="468"/>
      <c r="M36" s="468"/>
      <c r="N36" s="468"/>
      <c r="O36" s="468"/>
      <c r="P36" s="468"/>
      <c r="Q36" s="468"/>
      <c r="R36" s="240"/>
      <c r="S36" s="240"/>
      <c r="T36" s="240"/>
      <c r="U36" s="240"/>
    </row>
    <row r="37" spans="2:21" ht="30" x14ac:dyDescent="0.25">
      <c r="B37" s="495" t="s">
        <v>301</v>
      </c>
      <c r="C37" s="496">
        <v>0.2</v>
      </c>
      <c r="D37" s="496">
        <v>0.2</v>
      </c>
      <c r="E37" s="496">
        <v>0.2</v>
      </c>
      <c r="F37" s="508" t="s">
        <v>301</v>
      </c>
      <c r="G37" s="504">
        <v>0.22</v>
      </c>
      <c r="H37" s="504">
        <v>0.22</v>
      </c>
      <c r="I37" s="504">
        <v>0.22</v>
      </c>
      <c r="J37" s="513">
        <v>0.19</v>
      </c>
      <c r="K37" s="504">
        <v>0.19</v>
      </c>
      <c r="L37" s="468"/>
      <c r="M37" s="468"/>
      <c r="N37" s="468"/>
      <c r="O37" s="468"/>
      <c r="P37" s="468"/>
      <c r="Q37" s="468"/>
      <c r="R37" s="240"/>
      <c r="S37" s="240"/>
      <c r="T37" s="240"/>
      <c r="U37" s="240"/>
    </row>
    <row r="38" spans="2:21" x14ac:dyDescent="0.25">
      <c r="B38" s="495" t="s">
        <v>279</v>
      </c>
      <c r="C38" s="496">
        <v>5.14</v>
      </c>
      <c r="D38" s="496">
        <v>5.14</v>
      </c>
      <c r="E38" s="496">
        <v>5.14</v>
      </c>
      <c r="F38" s="508" t="s">
        <v>302</v>
      </c>
      <c r="G38" s="504">
        <v>7.0000000000000001E-3</v>
      </c>
      <c r="H38" s="504">
        <v>7.0000000000000001E-3</v>
      </c>
      <c r="I38" s="504">
        <v>7.0000000000000001E-3</v>
      </c>
      <c r="J38" s="513">
        <v>8.0000000000000002E-3</v>
      </c>
      <c r="K38" s="504">
        <v>8.0000000000000002E-3</v>
      </c>
      <c r="L38" s="468"/>
      <c r="M38" s="468"/>
      <c r="N38" s="468"/>
      <c r="O38" s="468"/>
      <c r="P38" s="468"/>
      <c r="Q38" s="468"/>
      <c r="R38" s="240"/>
      <c r="S38" s="240"/>
      <c r="T38" s="240"/>
      <c r="U38" s="240"/>
    </row>
    <row r="39" spans="2:21" x14ac:dyDescent="0.25">
      <c r="B39" s="495" t="s">
        <v>280</v>
      </c>
      <c r="C39" s="497">
        <f>(C35+C33)*C37</f>
        <v>5.5905554143770848</v>
      </c>
      <c r="D39" s="497" t="e">
        <f>(D35+D33)*D37</f>
        <v>#DIV/0!</v>
      </c>
      <c r="E39" s="497" t="e">
        <f>(E35+E33)*E37</f>
        <v>#DIV/0!</v>
      </c>
      <c r="F39" s="509"/>
      <c r="G39" s="487"/>
      <c r="H39" s="487"/>
      <c r="I39" s="487"/>
      <c r="J39" s="509"/>
      <c r="K39" s="493"/>
      <c r="L39" s="468"/>
      <c r="M39" s="468"/>
      <c r="N39" s="468"/>
      <c r="O39" s="468"/>
      <c r="P39" s="468"/>
      <c r="Q39" s="468"/>
      <c r="R39" s="240"/>
      <c r="S39" s="240"/>
      <c r="T39" s="240"/>
      <c r="U39" s="240"/>
    </row>
    <row r="40" spans="2:21" x14ac:dyDescent="0.25">
      <c r="B40" s="495" t="s">
        <v>303</v>
      </c>
      <c r="C40" s="497">
        <f>E1GC!$V$36/E1GC!$V$27</f>
        <v>2.4925553397910003E-2</v>
      </c>
      <c r="D40" s="497" t="e">
        <f>E1G2G!$V$36/E1G2G!$V$27</f>
        <v>#DIV/0!</v>
      </c>
      <c r="E40" s="497" t="e">
        <f>'E1G Flex'!V$38/'E1G Flex'!V$28</f>
        <v>#DIV/0!</v>
      </c>
      <c r="F40" s="509"/>
      <c r="G40" s="487"/>
      <c r="H40" s="487"/>
      <c r="I40" s="487"/>
      <c r="J40" s="509"/>
      <c r="K40" s="493"/>
      <c r="L40" s="468"/>
      <c r="M40" s="468"/>
      <c r="N40" s="468"/>
      <c r="O40" s="468"/>
      <c r="P40" s="468"/>
      <c r="Q40" s="468"/>
      <c r="R40" s="240"/>
      <c r="S40" s="240"/>
      <c r="T40" s="240"/>
      <c r="U40" s="240"/>
    </row>
    <row r="41" spans="2:21" ht="30" x14ac:dyDescent="0.25">
      <c r="B41" s="495" t="s">
        <v>430</v>
      </c>
      <c r="C41" s="497">
        <f>E1GC!$V$31*(1-E1GC!$Y$31)*C32/1000</f>
        <v>2.2594102649127383</v>
      </c>
      <c r="D41" s="497" t="e">
        <f>E1G2G!$V$31*(1-E1G2G!$Y$31)*D32/1000</f>
        <v>#DIV/0!</v>
      </c>
      <c r="E41" s="497" t="e">
        <f>'E1G Flex'!$V$32*(1-'E1G Flex'!$Y$32)*E32/1000</f>
        <v>#DIV/0!</v>
      </c>
      <c r="F41" s="509"/>
      <c r="G41" s="487"/>
      <c r="H41" s="487"/>
      <c r="I41" s="487"/>
      <c r="J41" s="509"/>
      <c r="K41" s="493"/>
      <c r="L41" s="468"/>
      <c r="M41" s="468"/>
      <c r="N41" s="468"/>
      <c r="O41" s="468"/>
      <c r="P41" s="468"/>
      <c r="Q41" s="468"/>
      <c r="R41" s="240"/>
      <c r="S41" s="240"/>
      <c r="T41" s="240"/>
      <c r="U41" s="240"/>
    </row>
    <row r="42" spans="2:21" x14ac:dyDescent="0.25">
      <c r="B42" s="495" t="s">
        <v>431</v>
      </c>
      <c r="C42" s="497">
        <f>E1GC!$V$33/E1GC!$V$27</f>
        <v>0.69992006955886443</v>
      </c>
      <c r="D42" s="497" t="e">
        <f>E1G2G!$V$33/E1G2G!$V$27</f>
        <v>#DIV/0!</v>
      </c>
      <c r="E42" s="497" t="e">
        <f>'E1G Flex'!$V$34/'E1G Flex'!$V$28</f>
        <v>#DIV/0!</v>
      </c>
      <c r="F42" s="509"/>
      <c r="G42" s="487"/>
      <c r="H42" s="487"/>
      <c r="I42" s="487"/>
      <c r="J42" s="509"/>
      <c r="K42" s="493"/>
      <c r="L42" s="468"/>
      <c r="M42" s="468"/>
      <c r="N42" s="468"/>
      <c r="O42" s="468"/>
      <c r="P42" s="468"/>
      <c r="Q42" s="468"/>
      <c r="R42" s="240"/>
      <c r="S42" s="240"/>
      <c r="T42" s="240"/>
      <c r="U42" s="240"/>
    </row>
    <row r="43" spans="2:21" x14ac:dyDescent="0.25">
      <c r="B43" s="495" t="s">
        <v>295</v>
      </c>
      <c r="C43" s="498">
        <f>(C41+C42)/C35</f>
        <v>0.33273089310050996</v>
      </c>
      <c r="D43" s="498" t="e">
        <f>(D41+D42)/D35</f>
        <v>#DIV/0!</v>
      </c>
      <c r="E43" s="498" t="e">
        <f>(E41+E42)/E35</f>
        <v>#DIV/0!</v>
      </c>
      <c r="F43" s="509"/>
      <c r="G43" s="487"/>
      <c r="H43" s="487"/>
      <c r="I43" s="487"/>
      <c r="J43" s="509"/>
      <c r="K43" s="493"/>
      <c r="L43" s="468"/>
      <c r="M43" s="468"/>
      <c r="N43" s="468"/>
      <c r="O43" s="468"/>
      <c r="P43" s="468"/>
      <c r="Q43" s="468"/>
      <c r="R43" s="240"/>
      <c r="S43" s="240"/>
      <c r="T43" s="240"/>
      <c r="U43" s="240"/>
    </row>
    <row r="44" spans="2:21" x14ac:dyDescent="0.25">
      <c r="C44" s="71"/>
      <c r="K44" s="468"/>
      <c r="L44" s="468"/>
      <c r="M44" s="468"/>
      <c r="N44" s="468"/>
      <c r="O44" s="468"/>
      <c r="P44" s="468"/>
      <c r="Q44" s="468"/>
      <c r="R44" s="240"/>
      <c r="S44" s="240"/>
      <c r="T44" s="240"/>
      <c r="U44" s="240"/>
    </row>
    <row r="45" spans="2:21" x14ac:dyDescent="0.25">
      <c r="C45" s="71"/>
      <c r="K45" s="468"/>
      <c r="L45" s="468"/>
      <c r="M45" s="468"/>
      <c r="N45" s="468"/>
      <c r="O45" s="468"/>
      <c r="P45" s="468"/>
      <c r="Q45" s="468"/>
      <c r="R45" s="240"/>
      <c r="S45" s="240"/>
      <c r="T45" s="240"/>
      <c r="U45" s="240"/>
    </row>
    <row r="46" spans="2:21" x14ac:dyDescent="0.25">
      <c r="B46" s="463" t="s">
        <v>813</v>
      </c>
      <c r="C46" s="463"/>
      <c r="D46" s="463"/>
      <c r="E46" s="463"/>
      <c r="F46" s="505"/>
      <c r="G46" s="463"/>
      <c r="H46" s="463"/>
      <c r="I46" s="463"/>
      <c r="J46" s="463"/>
      <c r="K46" s="463"/>
      <c r="L46" s="468"/>
      <c r="M46" s="468"/>
      <c r="N46" s="468"/>
      <c r="O46" s="468"/>
      <c r="P46" s="468"/>
      <c r="Q46" s="468"/>
      <c r="R46" s="240"/>
      <c r="S46" s="240"/>
      <c r="T46" s="240"/>
      <c r="U46" s="240"/>
    </row>
    <row r="47" spans="2:21" x14ac:dyDescent="0.25">
      <c r="B47" s="471"/>
      <c r="C47" s="471" t="s">
        <v>269</v>
      </c>
      <c r="D47" s="471" t="s">
        <v>268</v>
      </c>
      <c r="E47" s="471" t="s">
        <v>272</v>
      </c>
      <c r="F47" s="507"/>
      <c r="G47" s="471" t="s">
        <v>270</v>
      </c>
      <c r="H47" s="471" t="s">
        <v>271</v>
      </c>
      <c r="I47" s="471" t="s">
        <v>267</v>
      </c>
      <c r="J47" s="507" t="s">
        <v>336</v>
      </c>
      <c r="K47" s="471" t="s">
        <v>337</v>
      </c>
      <c r="L47" s="468"/>
      <c r="M47" s="468"/>
    </row>
    <row r="48" spans="2:21" ht="18" x14ac:dyDescent="0.25">
      <c r="B48" s="495" t="s">
        <v>801</v>
      </c>
      <c r="C48" s="472">
        <f>SUMIF(_E1GC!$C$21:$C$36,_E1GC!$C$21,_E1GC!$E$21:$E$36)*C32</f>
        <v>76.234846559687526</v>
      </c>
      <c r="D48" s="472" t="e">
        <f>SUMIF(_E1G2G!$C$21:$C$36,_E1G2G!$C$21,_E1G2G!$E$21:$E$36)*D32</f>
        <v>#DIV/0!</v>
      </c>
      <c r="E48" s="472" t="e">
        <f>SUMIF('_E1G Flex'!$C$22:$C$37,'_E1G Flex'!$C$22,'_E1G Flex'!$E$22:$E$37)*E32</f>
        <v>#DIV/0!</v>
      </c>
      <c r="F48" s="508" t="s">
        <v>801</v>
      </c>
      <c r="G48" s="472" t="e">
        <f>SUMIF(_E1GM!$C$23:$C$39,_E1GM!$C$23,_E1GM!$E$23:$E$39)*G32</f>
        <v>#DIV/0!</v>
      </c>
      <c r="H48" s="472" t="e">
        <f>SUMIF('_E1G Flex'!$C$102:$C$118,'_E1G Flex'!$C$102,'_E1G Flex'!$E$102:$E$118)*H32</f>
        <v>#DIV/0!</v>
      </c>
      <c r="I48" s="472" t="e">
        <f>SUMIF(_E1GMI!$C$23:$C$39,_E1GMI!$C$23,_E1GMI!$E$23:$E$39)*I32</f>
        <v>#DIV/0!</v>
      </c>
      <c r="J48" s="517" t="e">
        <f>SUMIF(_Biodiesel!$C$24:$C$39,_Biodiesel!$C$24,_Biodiesel!$E$24:$E$39)*J32</f>
        <v>#DIV/0!</v>
      </c>
      <c r="K48" s="472" t="e">
        <f>SUMIF(_BioQavHEFA!$C$23:$C$38,_BioQavHEFA!$C$23,_BioQavHEFA!$E$23:$E$38)*K32</f>
        <v>#DIV/0!</v>
      </c>
      <c r="L48" s="468"/>
      <c r="M48" s="468"/>
    </row>
    <row r="49" spans="2:21" ht="18" x14ac:dyDescent="0.25">
      <c r="B49" s="495" t="s">
        <v>802</v>
      </c>
      <c r="C49" s="472">
        <f>SUMPRODUCT(E1GC!$V$62:$V$66,E1GC!$Y$62:$Y$66)*C32/1000</f>
        <v>28.108232629828386</v>
      </c>
      <c r="D49" s="472" t="e">
        <f>SUMPRODUCT(E1G2G!$V$62:$V$66,E1G2G!$Y$62:$Y$66)*D32/1000</f>
        <v>#DIV/0!</v>
      </c>
      <c r="E49" s="472" t="e">
        <f>SUMPRODUCT('E1G Flex'!$V$64:$V$68,'E1G Flex'!$Y$64:$Y$68)*E32/1000</f>
        <v>#DIV/0!</v>
      </c>
      <c r="F49" s="508" t="s">
        <v>802</v>
      </c>
      <c r="G49" s="472" t="e">
        <f>SUMPRODUCT(E1GM!$D$59:$D$63,E1GM!$G$59:$G$63)*G32/1000</f>
        <v>#DIV/0!</v>
      </c>
      <c r="H49" s="472" t="e">
        <f>SUMPRODUCT('E1G Flex'!$D$124:$D$128,'E1G Flex'!$G$124:$G$128)*H32/1000</f>
        <v>#DIV/0!</v>
      </c>
      <c r="I49" s="472" t="e">
        <f>SUMPRODUCT(E1GMI!$D$59:$D$63,E1GMI!$G$59:$G$63)*I32/1000</f>
        <v>#DIV/0!</v>
      </c>
      <c r="J49" s="517" t="e">
        <f>SUMPRODUCT(Biodiesel!$D$60:$D$64,Biodiesel!$G$60:$G$64)*J32/1000</f>
        <v>#DIV/0!</v>
      </c>
      <c r="K49" s="472" t="e">
        <f>SUMPRODUCT(CombAlterHEFA!$D$59:$D$63,CombAlterHEFA!$G$59:$G$63)*K32/1000</f>
        <v>#DIV/0!</v>
      </c>
      <c r="L49" s="468"/>
      <c r="M49" s="468"/>
    </row>
    <row r="50" spans="2:21" ht="18" x14ac:dyDescent="0.25">
      <c r="B50" s="495" t="s">
        <v>803</v>
      </c>
      <c r="C50" s="473">
        <f>(C38*C39)+(C36*C35*(1-C40-C43))</f>
        <v>55.986682316345451</v>
      </c>
      <c r="D50" s="473" t="e">
        <f>(D38*D39)+(D36*D35*(1-D40-D43))</f>
        <v>#DIV/0!</v>
      </c>
      <c r="E50" s="473" t="e">
        <f t="shared" ref="E50" si="0">(E38*E39)+(E36*E35*(1-E40-E43))</f>
        <v>#DIV/0!</v>
      </c>
      <c r="F50" s="508" t="s">
        <v>803</v>
      </c>
      <c r="G50" s="473" t="e">
        <f t="shared" ref="G50:I50" si="1">G34*1000*G35*(1-G36)+(G34*1000+G33*1000)*G37*G38</f>
        <v>#DIV/0!</v>
      </c>
      <c r="H50" s="473" t="e">
        <f t="shared" ref="H50" si="2">H34*1000*H35*(1-H36)+(H34*1000+H33*1000)*H37*H38</f>
        <v>#DIV/0!</v>
      </c>
      <c r="I50" s="473" t="e">
        <f t="shared" si="1"/>
        <v>#DIV/0!</v>
      </c>
      <c r="J50" s="518" t="e">
        <f>J34*1000*J35*(1-J36)+(J34*1000+J33*1000)*J37*J38</f>
        <v>#DIV/0!</v>
      </c>
      <c r="K50" s="473" t="e">
        <f>K34*1000*K35*(1-K36)+(K34*1000+K33*1000)*K37*K38</f>
        <v>#DIV/0!</v>
      </c>
      <c r="L50" s="468"/>
      <c r="M50" s="468"/>
    </row>
    <row r="51" spans="2:21" x14ac:dyDescent="0.25">
      <c r="B51" s="514" t="s">
        <v>566</v>
      </c>
      <c r="C51" s="515"/>
      <c r="D51" s="515"/>
      <c r="E51" s="515"/>
      <c r="F51" s="516" t="s">
        <v>566</v>
      </c>
      <c r="G51" s="515"/>
      <c r="H51" s="515"/>
      <c r="I51" s="515"/>
      <c r="J51" s="519"/>
      <c r="K51" s="515"/>
      <c r="L51" s="468"/>
      <c r="M51" s="468"/>
      <c r="N51" s="470"/>
    </row>
    <row r="52" spans="2:21" ht="18" x14ac:dyDescent="0.25">
      <c r="B52" s="495" t="s">
        <v>804</v>
      </c>
      <c r="C52" s="473">
        <f>(C48*0.1)*(17/14)</f>
        <v>9.257088510819198</v>
      </c>
      <c r="D52" s="473" t="e">
        <f>(D48*0.1)*(17/14)</f>
        <v>#DIV/0!</v>
      </c>
      <c r="E52" s="473" t="e">
        <f>(E48*0.1)*(17/14)</f>
        <v>#DIV/0!</v>
      </c>
      <c r="F52" s="508" t="s">
        <v>804</v>
      </c>
      <c r="G52" s="473" t="e">
        <f>(G48*0.1)*(17/14)</f>
        <v>#DIV/0!</v>
      </c>
      <c r="H52" s="473" t="e">
        <f>(H48*0.1)*(17/14)</f>
        <v>#DIV/0!</v>
      </c>
      <c r="I52" s="473" t="e">
        <f>(I48*0.1)*(17/14)</f>
        <v>#DIV/0!</v>
      </c>
      <c r="J52" s="518" t="e">
        <f>(J48*0.1)*(17/14)</f>
        <v>#DIV/0!</v>
      </c>
      <c r="K52" s="473" t="e">
        <f>(K48*0.1)*(17/14)</f>
        <v>#DIV/0!</v>
      </c>
      <c r="L52" s="468"/>
      <c r="M52" s="468"/>
    </row>
    <row r="53" spans="2:21" ht="18" x14ac:dyDescent="0.25">
      <c r="B53" s="495" t="s">
        <v>805</v>
      </c>
      <c r="C53" s="473">
        <f>C48*0.3*(62/14)</f>
        <v>101.28343900072772</v>
      </c>
      <c r="D53" s="473" t="e">
        <f>D48*0.3*(62/14)</f>
        <v>#DIV/0!</v>
      </c>
      <c r="E53" s="473" t="e">
        <f>E48*0.3*(62/14)</f>
        <v>#DIV/0!</v>
      </c>
      <c r="F53" s="508" t="s">
        <v>805</v>
      </c>
      <c r="G53" s="473" t="e">
        <f>G48*0.3*(62/14)</f>
        <v>#DIV/0!</v>
      </c>
      <c r="H53" s="473" t="e">
        <f>H48*0.3*(62/14)</f>
        <v>#DIV/0!</v>
      </c>
      <c r="I53" s="473" t="e">
        <f>I48*0.3*(62/14)</f>
        <v>#DIV/0!</v>
      </c>
      <c r="J53" s="518" t="e">
        <f>J48*0.3*(62/14)</f>
        <v>#DIV/0!</v>
      </c>
      <c r="K53" s="473" t="e">
        <f>K48*0.3*(62/14)</f>
        <v>#DIV/0!</v>
      </c>
      <c r="L53" s="468"/>
      <c r="M53" s="468"/>
    </row>
    <row r="54" spans="2:21" ht="18" x14ac:dyDescent="0.25">
      <c r="B54" s="495" t="s">
        <v>806</v>
      </c>
      <c r="C54" s="472">
        <f>(44/28)*(0.01*C48+(0.01*(14/17)*C52+(0.0075*(14/62)*C53)))</f>
        <v>1.5873184122963511</v>
      </c>
      <c r="D54" s="472" t="e">
        <f>(44/28)*(0.01*D48+(0.01*(14/17)*D52+(0.0075*(14/62)*D53)))</f>
        <v>#DIV/0!</v>
      </c>
      <c r="E54" s="472" t="e">
        <f>(44/28)*(0.01*E48+(0.01*(14/17)*E52+(0.0075*(14/62)*E53)))</f>
        <v>#DIV/0!</v>
      </c>
      <c r="F54" s="508" t="s">
        <v>806</v>
      </c>
      <c r="G54" s="472" t="e">
        <f>(44/28)*(0.01*G48+(0.01*(14/17)*G52+(0.0075*(14/62)*G53)))</f>
        <v>#DIV/0!</v>
      </c>
      <c r="H54" s="472" t="e">
        <f>(44/28)*(0.01*H48+(0.01*(14/17)*H52+(0.0075*(14/62)*H53)))</f>
        <v>#DIV/0!</v>
      </c>
      <c r="I54" s="472" t="e">
        <f>(44/28)*(0.01*I48+(0.01*(14/17)*I52+(0.0075*(14/62)*I53)))</f>
        <v>#DIV/0!</v>
      </c>
      <c r="J54" s="517" t="e">
        <f>(44/28)*(0.01*J48+(0.01*(14/17)*J52+(0.0075*(14/62)*J53)))</f>
        <v>#DIV/0!</v>
      </c>
      <c r="K54" s="472" t="e">
        <f>(44/28)*(0.01*K48+(0.01*(14/17)*K52+(0.0075*(14/62)*K53)))</f>
        <v>#DIV/0!</v>
      </c>
      <c r="L54" s="468"/>
      <c r="M54" s="468"/>
    </row>
    <row r="55" spans="2:21" x14ac:dyDescent="0.25">
      <c r="B55" s="514" t="s">
        <v>565</v>
      </c>
      <c r="C55" s="515"/>
      <c r="D55" s="515"/>
      <c r="E55" s="515"/>
      <c r="F55" s="516" t="s">
        <v>565</v>
      </c>
      <c r="G55" s="515"/>
      <c r="H55" s="515"/>
      <c r="I55" s="515"/>
      <c r="J55" s="519"/>
      <c r="K55" s="515"/>
      <c r="L55" s="468"/>
      <c r="M55" s="468"/>
    </row>
    <row r="56" spans="2:21" ht="18" x14ac:dyDescent="0.25">
      <c r="B56" s="495" t="s">
        <v>804</v>
      </c>
      <c r="C56" s="473">
        <f>(C49*0.2)*(17/14)</f>
        <v>6.8262850672440365</v>
      </c>
      <c r="D56" s="473" t="e">
        <f>(D49*0.2)*(17/14)</f>
        <v>#DIV/0!</v>
      </c>
      <c r="E56" s="473" t="e">
        <f>(E49*0.2)*(17/14)</f>
        <v>#DIV/0!</v>
      </c>
      <c r="F56" s="508" t="s">
        <v>804</v>
      </c>
      <c r="G56" s="473" t="e">
        <f>(G49*0.2)*(17/14)</f>
        <v>#DIV/0!</v>
      </c>
      <c r="H56" s="473" t="e">
        <f>(H49*0.2)*(17/14)</f>
        <v>#DIV/0!</v>
      </c>
      <c r="I56" s="473" t="e">
        <f>(I49*0.2)*(17/14)</f>
        <v>#DIV/0!</v>
      </c>
      <c r="J56" s="518" t="e">
        <f>(J49*0.2)*(17/14)</f>
        <v>#DIV/0!</v>
      </c>
      <c r="K56" s="473" t="e">
        <f>(K49*0.2)*(17/14)</f>
        <v>#DIV/0!</v>
      </c>
      <c r="L56" s="468"/>
      <c r="M56" s="468"/>
    </row>
    <row r="57" spans="2:21" ht="18" x14ac:dyDescent="0.25">
      <c r="B57" s="495" t="s">
        <v>805</v>
      </c>
      <c r="C57" s="473">
        <f>C49*0.3*(62/14)</f>
        <v>37.343794779629135</v>
      </c>
      <c r="D57" s="473" t="e">
        <f>D49*0.3*(62/14)</f>
        <v>#DIV/0!</v>
      </c>
      <c r="E57" s="473" t="e">
        <f>E49*0.3*(62/14)</f>
        <v>#DIV/0!</v>
      </c>
      <c r="F57" s="508" t="s">
        <v>805</v>
      </c>
      <c r="G57" s="473" t="e">
        <f>G49*0.3*(62/14)</f>
        <v>#DIV/0!</v>
      </c>
      <c r="H57" s="473" t="e">
        <f>H49*0.3*(62/14)</f>
        <v>#DIV/0!</v>
      </c>
      <c r="I57" s="473" t="e">
        <f>I49*0.3*(62/14)</f>
        <v>#DIV/0!</v>
      </c>
      <c r="J57" s="518" t="e">
        <f>J49*0.3*(62/14)</f>
        <v>#DIV/0!</v>
      </c>
      <c r="K57" s="473" t="e">
        <f>K49*0.3*(62/14)</f>
        <v>#DIV/0!</v>
      </c>
      <c r="L57" s="468"/>
      <c r="M57" s="468"/>
    </row>
    <row r="58" spans="2:21" ht="18" x14ac:dyDescent="0.25">
      <c r="B58" s="495" t="s">
        <v>806</v>
      </c>
      <c r="C58" s="472">
        <f>(44/28)*(0.01*(C49)+(0.01*(14/17)*C56+(0.0075*(14/62)*C57)))</f>
        <v>0.62942363781794286</v>
      </c>
      <c r="D58" s="472" t="e">
        <f>(44/28)*(0.01*(D49)+(0.01*(14/17)*D56+(0.0075*(14/62)*D57)))</f>
        <v>#DIV/0!</v>
      </c>
      <c r="E58" s="472" t="e">
        <f>(44/28)*(0.01*(E49)+(0.01*(14/17)*E56+(0.0075*(14/62)*E57)))</f>
        <v>#DIV/0!</v>
      </c>
      <c r="F58" s="508" t="s">
        <v>806</v>
      </c>
      <c r="G58" s="472" t="e">
        <f>(44/28)*(0.01*(G49)+(0.01*(14/17)*G56+(0.0075*(14/62)*G57)))</f>
        <v>#DIV/0!</v>
      </c>
      <c r="H58" s="472" t="e">
        <f>(44/28)*(0.01*(H49)+(0.01*(14/17)*H56+(0.0075*(14/62)*H57)))</f>
        <v>#DIV/0!</v>
      </c>
      <c r="I58" s="472" t="e">
        <f>(44/28)*(0.01*(I49)+(0.01*(14/17)*I56+(0.0075*(14/62)*I57)))</f>
        <v>#DIV/0!</v>
      </c>
      <c r="J58" s="517" t="e">
        <f>(44/28)*(0.01*(J49)+(0.01*(14/17)*J56+(0.0075*(14/62)*J57)))</f>
        <v>#DIV/0!</v>
      </c>
      <c r="K58" s="472" t="e">
        <f>(44/28)*(0.01*(K49)+(0.01*(14/17)*K56+(0.0075*(14/62)*K57)))</f>
        <v>#DIV/0!</v>
      </c>
    </row>
    <row r="59" spans="2:21" x14ac:dyDescent="0.25">
      <c r="B59" s="514" t="s">
        <v>564</v>
      </c>
      <c r="C59" s="515"/>
      <c r="D59" s="515"/>
      <c r="E59" s="515"/>
      <c r="F59" s="516" t="s">
        <v>564</v>
      </c>
      <c r="G59" s="515"/>
      <c r="H59" s="515"/>
      <c r="I59" s="515"/>
      <c r="J59" s="519"/>
      <c r="K59" s="515"/>
    </row>
    <row r="60" spans="2:21" ht="18" x14ac:dyDescent="0.25">
      <c r="B60" s="495" t="s">
        <v>804</v>
      </c>
      <c r="C60" s="473"/>
      <c r="D60" s="473"/>
      <c r="E60" s="473"/>
      <c r="F60" s="508" t="s">
        <v>804</v>
      </c>
      <c r="G60" s="473"/>
      <c r="H60" s="473"/>
      <c r="I60" s="473"/>
      <c r="J60" s="518"/>
      <c r="K60" s="473"/>
    </row>
    <row r="61" spans="2:21" ht="18" x14ac:dyDescent="0.25">
      <c r="B61" s="495" t="s">
        <v>805</v>
      </c>
      <c r="C61" s="473">
        <f>C50*0.3*(62/14)</f>
        <v>74.382306506001811</v>
      </c>
      <c r="D61" s="473" t="e">
        <f>D50*0.3*(62/14)</f>
        <v>#DIV/0!</v>
      </c>
      <c r="E61" s="473" t="e">
        <f>E50*0.3*(62/14)</f>
        <v>#DIV/0!</v>
      </c>
      <c r="F61" s="508" t="s">
        <v>805</v>
      </c>
      <c r="G61" s="473" t="e">
        <f>G50*0.3*(62/14)</f>
        <v>#DIV/0!</v>
      </c>
      <c r="H61" s="473" t="e">
        <f>H50*0.3*(62/14)</f>
        <v>#DIV/0!</v>
      </c>
      <c r="I61" s="473" t="e">
        <f>I50*0.3*(62/14)</f>
        <v>#DIV/0!</v>
      </c>
      <c r="J61" s="518" t="e">
        <f>J50*0.3*(62/14)</f>
        <v>#DIV/0!</v>
      </c>
      <c r="K61" s="473" t="e">
        <f>K50*0.3*(62/14)</f>
        <v>#DIV/0!</v>
      </c>
    </row>
    <row r="62" spans="2:21" ht="18" x14ac:dyDescent="0.25">
      <c r="B62" s="495" t="s">
        <v>806</v>
      </c>
      <c r="C62" s="472">
        <f>(44/28)*(0.01*(C50)+(0.01*(14/17)*C60+(0.0075*(14/62)*C61)))</f>
        <v>1.0777436345896498</v>
      </c>
      <c r="D62" s="472" t="e">
        <f>(44/28)*(0.01*(D50)+(0.01*(14/17)*D60+(0.0075*(14/62)*D61)))</f>
        <v>#DIV/0!</v>
      </c>
      <c r="E62" s="472" t="e">
        <f>(44/28)*(0.01*(E50)+(0.01*(14/17)*E60+(0.0075*(14/62)*E61)))</f>
        <v>#DIV/0!</v>
      </c>
      <c r="F62" s="508" t="s">
        <v>806</v>
      </c>
      <c r="G62" s="472" t="e">
        <f>(44/28)*(0.01*(G50)+(0.01*(14/17)*G60+(0.0075*(14/62)*G61)))</f>
        <v>#DIV/0!</v>
      </c>
      <c r="H62" s="472" t="e">
        <f>(44/28)*(0.01*(H50)+(0.01*(14/17)*H60+(0.0075*(14/62)*H61)))</f>
        <v>#DIV/0!</v>
      </c>
      <c r="I62" s="472" t="e">
        <f>(44/28)*(0.01*(I50)+(0.01*(14/17)*I60+(0.0075*(14/62)*I61)))</f>
        <v>#DIV/0!</v>
      </c>
      <c r="J62" s="517" t="e">
        <f>(44/28)*(0.01*(J50)+(0.01*(14/17)*J60+(0.0075*(14/62)*J61)))</f>
        <v>#DIV/0!</v>
      </c>
      <c r="K62" s="472" t="e">
        <f>(44/28)*(0.01*(K50)+(0.01*(14/17)*K60+(0.0075*(14/62)*K61)))</f>
        <v>#DIV/0!</v>
      </c>
    </row>
    <row r="63" spans="2:21" x14ac:dyDescent="0.25">
      <c r="B63" s="478" t="s">
        <v>266</v>
      </c>
      <c r="D63" s="469"/>
      <c r="E63" s="234"/>
      <c r="F63" s="234"/>
      <c r="G63" s="70"/>
      <c r="H63" s="468"/>
      <c r="I63" s="468"/>
      <c r="J63" s="468"/>
      <c r="L63" s="240"/>
      <c r="M63" s="240"/>
      <c r="N63" s="240"/>
      <c r="O63" s="240"/>
      <c r="P63" s="240"/>
      <c r="Q63" s="240"/>
      <c r="R63" s="240"/>
      <c r="S63" s="240"/>
      <c r="T63" s="240"/>
      <c r="U63" s="240"/>
    </row>
    <row r="64" spans="2:21" x14ac:dyDescent="0.25">
      <c r="D64" s="469"/>
      <c r="E64" s="469"/>
      <c r="F64" s="234"/>
      <c r="G64" s="70"/>
      <c r="H64" s="468"/>
      <c r="I64" s="468"/>
      <c r="J64" s="468"/>
      <c r="L64" s="240"/>
      <c r="M64" s="240"/>
      <c r="N64" s="240"/>
      <c r="O64" s="240"/>
      <c r="P64" s="240"/>
      <c r="Q64" s="240"/>
      <c r="R64" s="240"/>
      <c r="S64" s="240"/>
      <c r="T64" s="240"/>
      <c r="U64" s="240"/>
    </row>
    <row r="65" spans="2:410" x14ac:dyDescent="0.25">
      <c r="D65" s="469"/>
      <c r="E65" s="469"/>
      <c r="F65" s="525"/>
      <c r="G65"/>
      <c r="H65"/>
      <c r="I65"/>
      <c r="J65" s="468"/>
      <c r="L65" s="240"/>
      <c r="M65" s="240"/>
      <c r="N65" s="240"/>
      <c r="O65" s="240"/>
      <c r="P65" s="240"/>
      <c r="Q65" s="240"/>
      <c r="R65" s="240"/>
      <c r="S65" s="240"/>
      <c r="T65" s="240"/>
      <c r="U65" s="240"/>
    </row>
    <row r="66" spans="2:410" s="475" customFormat="1" ht="18" x14ac:dyDescent="0.25">
      <c r="B66" s="523" t="s">
        <v>807</v>
      </c>
      <c r="C66" s="523"/>
      <c r="D66" s="523"/>
      <c r="E66" s="523"/>
      <c r="F66"/>
      <c r="G66"/>
      <c r="H66"/>
      <c r="I66"/>
    </row>
    <row r="67" spans="2:410" x14ac:dyDescent="0.25">
      <c r="B67" s="524" t="s">
        <v>247</v>
      </c>
      <c r="C67" s="524"/>
      <c r="D67" s="524"/>
      <c r="E67" s="524"/>
      <c r="F67"/>
      <c r="G67"/>
      <c r="H67"/>
      <c r="I67"/>
      <c r="J67" s="468"/>
      <c r="L67" s="240"/>
      <c r="M67" s="240"/>
      <c r="N67" s="240"/>
      <c r="O67" s="240"/>
      <c r="P67" s="240"/>
      <c r="Q67" s="240"/>
      <c r="R67" s="240"/>
      <c r="S67" s="240"/>
      <c r="T67" s="240"/>
      <c r="U67" s="240"/>
    </row>
    <row r="68" spans="2:410" x14ac:dyDescent="0.25">
      <c r="B68" s="486" t="s">
        <v>817</v>
      </c>
      <c r="C68" s="489"/>
      <c r="D68" s="489"/>
      <c r="E68" s="489"/>
      <c r="F68"/>
      <c r="G68"/>
      <c r="H68"/>
      <c r="I68"/>
      <c r="J68" s="468"/>
      <c r="L68" s="240"/>
      <c r="M68" s="240"/>
      <c r="N68" s="240"/>
      <c r="O68" s="240"/>
      <c r="P68" s="240"/>
      <c r="Q68" s="240"/>
      <c r="R68" s="240"/>
      <c r="S68" s="240"/>
      <c r="T68" s="240"/>
      <c r="U68" s="240"/>
    </row>
    <row r="69" spans="2:410" ht="18" x14ac:dyDescent="0.25">
      <c r="B69" s="522" t="s">
        <v>808</v>
      </c>
      <c r="C69" s="481">
        <v>7.0000000000000007E-2</v>
      </c>
      <c r="D69" s="489"/>
      <c r="E69" s="489"/>
      <c r="F69"/>
      <c r="G69"/>
      <c r="H69"/>
      <c r="I69"/>
      <c r="J69" s="468"/>
      <c r="L69" s="240"/>
      <c r="M69" s="240"/>
      <c r="N69" s="240"/>
      <c r="O69" s="240"/>
      <c r="P69" s="240"/>
      <c r="Q69" s="240"/>
      <c r="R69" s="240"/>
      <c r="S69" s="240"/>
      <c r="T69" s="240"/>
      <c r="U69" s="240"/>
    </row>
    <row r="70" spans="2:410" ht="18" x14ac:dyDescent="0.25">
      <c r="B70" s="522" t="s">
        <v>809</v>
      </c>
      <c r="C70" s="481">
        <v>2.7</v>
      </c>
      <c r="D70" s="489"/>
      <c r="E70" s="489"/>
      <c r="F70"/>
      <c r="G70"/>
      <c r="H70"/>
      <c r="I70"/>
      <c r="J70" s="468"/>
      <c r="L70" s="240"/>
      <c r="M70" s="240"/>
      <c r="N70" s="240"/>
      <c r="O70" s="240"/>
      <c r="P70" s="240"/>
      <c r="Q70" s="240"/>
      <c r="R70" s="240"/>
      <c r="S70" s="240"/>
      <c r="T70" s="240"/>
      <c r="U70" s="240"/>
    </row>
    <row r="71" spans="2:410" x14ac:dyDescent="0.25">
      <c r="B71" s="471"/>
      <c r="C71" s="471" t="s">
        <v>269</v>
      </c>
      <c r="D71" s="471" t="s">
        <v>268</v>
      </c>
      <c r="E71" s="471" t="s">
        <v>272</v>
      </c>
      <c r="F71"/>
      <c r="G71"/>
      <c r="H71"/>
      <c r="I71"/>
      <c r="L71" s="240"/>
      <c r="M71" s="240"/>
      <c r="N71" s="240"/>
      <c r="O71" s="240"/>
      <c r="P71" s="240"/>
      <c r="Q71" s="240"/>
      <c r="R71" s="240"/>
      <c r="S71" s="240"/>
      <c r="T71" s="240"/>
      <c r="U71" s="240"/>
    </row>
    <row r="72" spans="2:410" x14ac:dyDescent="0.25">
      <c r="B72" s="522" t="s">
        <v>816</v>
      </c>
      <c r="C72" s="472">
        <f>C34*C32*C40</f>
        <v>0.22168950284891281</v>
      </c>
      <c r="D72" s="472" t="e">
        <f t="shared" ref="D72:E72" si="3">D34*D32*D40</f>
        <v>#DIV/0!</v>
      </c>
      <c r="E72" s="472" t="e">
        <f t="shared" si="3"/>
        <v>#DIV/0!</v>
      </c>
      <c r="F72"/>
      <c r="G72"/>
      <c r="H72"/>
      <c r="I72"/>
      <c r="M72" s="240"/>
      <c r="O72" s="240"/>
      <c r="P72" s="240"/>
      <c r="Q72" s="240"/>
      <c r="R72" s="240"/>
      <c r="S72" s="240"/>
      <c r="T72" s="240"/>
      <c r="U72" s="240"/>
    </row>
    <row r="73" spans="2:410" ht="18" x14ac:dyDescent="0.25">
      <c r="B73" s="495" t="s">
        <v>814</v>
      </c>
      <c r="C73" s="473">
        <f>C72*$C$69</f>
        <v>1.5518265199423899E-2</v>
      </c>
      <c r="D73" s="473" t="e">
        <f>D72*$C$69</f>
        <v>#DIV/0!</v>
      </c>
      <c r="E73" s="473" t="e">
        <f>E72*$C$69</f>
        <v>#DIV/0!</v>
      </c>
      <c r="F73"/>
      <c r="G73"/>
      <c r="H73"/>
      <c r="I73"/>
      <c r="M73" s="240"/>
      <c r="N73" s="240"/>
      <c r="O73" s="240"/>
      <c r="P73" s="240"/>
      <c r="Q73" s="240"/>
      <c r="R73" s="240"/>
      <c r="S73" s="240"/>
      <c r="T73" s="240"/>
      <c r="U73" s="240"/>
    </row>
    <row r="74" spans="2:410" ht="18" x14ac:dyDescent="0.25">
      <c r="B74" s="495" t="s">
        <v>815</v>
      </c>
      <c r="C74" s="473">
        <f>C72*$C$70</f>
        <v>0.5985616576920646</v>
      </c>
      <c r="D74" s="473" t="e">
        <f>D72*$C$70</f>
        <v>#DIV/0!</v>
      </c>
      <c r="E74" s="473" t="e">
        <f>E72*$C$70</f>
        <v>#DIV/0!</v>
      </c>
      <c r="F74"/>
      <c r="G74"/>
      <c r="H74"/>
      <c r="I74"/>
      <c r="J74" s="520"/>
      <c r="K74" s="521"/>
      <c r="M74" s="240"/>
      <c r="N74" s="240"/>
      <c r="O74" s="240"/>
      <c r="P74" s="240"/>
      <c r="Q74" s="240"/>
      <c r="R74" s="240"/>
      <c r="S74" s="240"/>
      <c r="T74" s="240"/>
      <c r="U74" s="240"/>
    </row>
    <row r="75" spans="2:410" s="474" customFormat="1" x14ac:dyDescent="0.25">
      <c r="B75" s="478" t="s">
        <v>246</v>
      </c>
      <c r="F75"/>
      <c r="G75"/>
      <c r="H75"/>
      <c r="I75"/>
    </row>
    <row r="76" spans="2:410" s="474" customFormat="1" x14ac:dyDescent="0.25">
      <c r="D76" s="476"/>
      <c r="E76" s="476"/>
      <c r="F76" s="476"/>
      <c r="G76" s="477"/>
      <c r="H76" s="476"/>
      <c r="I76" s="476"/>
      <c r="J76" s="476"/>
      <c r="K76" s="476"/>
      <c r="L76" s="476"/>
      <c r="M76" s="476"/>
      <c r="N76" s="476"/>
      <c r="O76" s="476"/>
      <c r="P76" s="476"/>
      <c r="Q76" s="476"/>
      <c r="R76" s="476"/>
      <c r="S76" s="476"/>
      <c r="T76" s="476"/>
      <c r="U76" s="476"/>
      <c r="V76" s="476"/>
      <c r="W76" s="476"/>
      <c r="X76" s="476"/>
      <c r="Y76" s="476"/>
      <c r="Z76" s="476"/>
      <c r="AA76" s="476"/>
      <c r="AB76" s="476"/>
      <c r="AC76" s="476"/>
      <c r="AD76" s="476"/>
      <c r="AE76" s="476"/>
      <c r="AF76" s="476"/>
      <c r="AG76" s="476"/>
      <c r="AH76" s="476"/>
      <c r="AI76" s="476"/>
      <c r="AJ76" s="476"/>
      <c r="AK76" s="476"/>
      <c r="AL76" s="476"/>
      <c r="AM76" s="476"/>
      <c r="AN76" s="476"/>
      <c r="AO76" s="476"/>
      <c r="AP76" s="476"/>
      <c r="AQ76" s="476"/>
      <c r="AR76" s="476"/>
      <c r="AS76" s="476"/>
      <c r="AT76" s="476"/>
      <c r="AU76" s="476"/>
      <c r="AV76" s="476"/>
      <c r="AW76" s="476"/>
      <c r="AX76" s="476"/>
      <c r="AY76" s="476"/>
      <c r="AZ76" s="476"/>
      <c r="BA76" s="476"/>
      <c r="BB76" s="476"/>
      <c r="BC76" s="476"/>
      <c r="BD76" s="476"/>
      <c r="BE76" s="476"/>
      <c r="BF76" s="476"/>
      <c r="BG76" s="476"/>
      <c r="BH76" s="476"/>
      <c r="BI76" s="476"/>
      <c r="BJ76" s="476"/>
      <c r="BK76" s="476"/>
      <c r="BL76" s="476"/>
      <c r="BM76" s="476"/>
      <c r="BN76" s="476"/>
      <c r="BO76" s="476"/>
      <c r="BP76" s="476"/>
      <c r="BQ76" s="476"/>
      <c r="BR76" s="476"/>
      <c r="BS76" s="476"/>
      <c r="BT76" s="476"/>
      <c r="BU76" s="476"/>
      <c r="BV76" s="476"/>
      <c r="BW76" s="476"/>
      <c r="BX76" s="476"/>
      <c r="BY76" s="476"/>
      <c r="BZ76" s="476"/>
      <c r="CA76" s="476"/>
      <c r="CB76" s="476"/>
      <c r="CC76" s="476"/>
      <c r="CD76" s="476"/>
      <c r="CE76" s="476"/>
      <c r="CF76" s="476"/>
      <c r="CG76" s="476"/>
      <c r="CH76" s="476"/>
      <c r="CI76" s="476"/>
      <c r="CJ76" s="476"/>
      <c r="CK76" s="476"/>
      <c r="CL76" s="476"/>
      <c r="CM76" s="476"/>
      <c r="CN76" s="476"/>
      <c r="CO76" s="476"/>
      <c r="CP76" s="476"/>
      <c r="CQ76" s="476"/>
      <c r="CR76" s="476"/>
      <c r="CS76" s="476"/>
      <c r="CT76" s="476"/>
      <c r="CU76" s="476"/>
      <c r="CV76" s="476"/>
      <c r="CW76" s="476"/>
      <c r="CX76" s="476"/>
      <c r="CY76" s="476"/>
      <c r="CZ76" s="476"/>
      <c r="DA76" s="476"/>
      <c r="DB76" s="476"/>
      <c r="DC76" s="476"/>
      <c r="DD76" s="476"/>
      <c r="DE76" s="476"/>
      <c r="DF76" s="476"/>
      <c r="DG76" s="476"/>
      <c r="DH76" s="476"/>
      <c r="DI76" s="476"/>
      <c r="DJ76" s="476"/>
      <c r="DK76" s="476"/>
      <c r="DL76" s="476"/>
      <c r="DM76" s="476"/>
      <c r="DN76" s="476"/>
      <c r="DO76" s="476"/>
      <c r="DP76" s="476"/>
      <c r="DQ76" s="476"/>
      <c r="DR76" s="476"/>
      <c r="DS76" s="476"/>
      <c r="DT76" s="476"/>
      <c r="DU76" s="476"/>
      <c r="DV76" s="476"/>
      <c r="DW76" s="476"/>
      <c r="DX76" s="476"/>
      <c r="DY76" s="476"/>
      <c r="DZ76" s="476"/>
      <c r="EA76" s="476"/>
      <c r="EB76" s="476"/>
      <c r="EC76" s="476"/>
      <c r="ED76" s="476"/>
      <c r="EE76" s="476"/>
      <c r="EF76" s="476"/>
      <c r="EG76" s="476"/>
      <c r="EH76" s="476"/>
      <c r="EI76" s="476"/>
      <c r="EJ76" s="476"/>
      <c r="EK76" s="476"/>
      <c r="EL76" s="476"/>
      <c r="EM76" s="476"/>
      <c r="EN76" s="476"/>
      <c r="EO76" s="476"/>
      <c r="EP76" s="476"/>
      <c r="EQ76" s="476"/>
      <c r="ER76" s="476"/>
      <c r="ES76" s="476"/>
      <c r="ET76" s="476"/>
      <c r="EU76" s="476"/>
      <c r="EV76" s="476"/>
      <c r="EW76" s="476"/>
      <c r="EX76" s="476"/>
      <c r="EY76" s="476"/>
      <c r="EZ76" s="476"/>
      <c r="FA76" s="476"/>
      <c r="FB76" s="476"/>
      <c r="FC76" s="476"/>
      <c r="FD76" s="476"/>
      <c r="FE76" s="476"/>
      <c r="FF76" s="476"/>
      <c r="FG76" s="476"/>
      <c r="FH76" s="476"/>
      <c r="FI76" s="476"/>
      <c r="FJ76" s="476"/>
      <c r="FK76" s="476"/>
      <c r="FL76" s="476"/>
      <c r="FM76" s="476"/>
      <c r="FN76" s="476"/>
      <c r="FO76" s="476"/>
      <c r="FP76" s="476"/>
      <c r="FQ76" s="476"/>
      <c r="FR76" s="476"/>
      <c r="FS76" s="476"/>
      <c r="FT76" s="476"/>
      <c r="FU76" s="476"/>
      <c r="FV76" s="476"/>
      <c r="FW76" s="476"/>
      <c r="FX76" s="476"/>
      <c r="FY76" s="476"/>
      <c r="FZ76" s="476"/>
      <c r="GA76" s="476"/>
      <c r="GB76" s="476"/>
      <c r="GC76" s="476"/>
      <c r="GD76" s="476"/>
      <c r="GE76" s="476"/>
      <c r="GF76" s="476"/>
      <c r="GG76" s="476"/>
      <c r="GH76" s="476"/>
      <c r="GI76" s="476"/>
      <c r="GJ76" s="476"/>
      <c r="GK76" s="476"/>
      <c r="GL76" s="476"/>
      <c r="GM76" s="476"/>
      <c r="GN76" s="476"/>
      <c r="GO76" s="476"/>
      <c r="GP76" s="476"/>
      <c r="GQ76" s="476"/>
      <c r="GR76" s="476"/>
      <c r="GS76" s="476"/>
      <c r="GT76" s="476"/>
      <c r="GU76" s="476"/>
      <c r="GV76" s="476"/>
      <c r="GW76" s="476"/>
      <c r="GX76" s="476"/>
      <c r="GY76" s="476"/>
      <c r="GZ76" s="476"/>
      <c r="HA76" s="476"/>
      <c r="HB76" s="476"/>
      <c r="HC76" s="476"/>
      <c r="HD76" s="476"/>
      <c r="HE76" s="476"/>
      <c r="HF76" s="476"/>
      <c r="HG76" s="476"/>
      <c r="HH76" s="476"/>
      <c r="HI76" s="476"/>
      <c r="HJ76" s="476"/>
      <c r="HK76" s="476"/>
      <c r="HL76" s="476"/>
      <c r="HM76" s="476"/>
      <c r="HN76" s="476"/>
      <c r="HO76" s="476"/>
      <c r="HP76" s="476"/>
      <c r="HQ76" s="476"/>
      <c r="HR76" s="476"/>
      <c r="HS76" s="476"/>
      <c r="HT76" s="476"/>
      <c r="HU76" s="476"/>
      <c r="HV76" s="476"/>
      <c r="HW76" s="476"/>
      <c r="HX76" s="476"/>
      <c r="HY76" s="476"/>
      <c r="HZ76" s="476"/>
      <c r="IA76" s="476"/>
      <c r="IB76" s="476"/>
      <c r="IC76" s="476"/>
      <c r="ID76" s="476"/>
      <c r="IE76" s="476"/>
      <c r="IF76" s="476"/>
      <c r="IG76" s="476"/>
      <c r="IH76" s="476"/>
      <c r="II76" s="476"/>
      <c r="IJ76" s="476"/>
      <c r="IK76" s="476"/>
      <c r="IL76" s="476"/>
      <c r="IM76" s="476"/>
      <c r="IN76" s="476"/>
      <c r="IO76" s="476"/>
      <c r="IP76" s="476"/>
      <c r="IQ76" s="476"/>
      <c r="IR76" s="476"/>
      <c r="IS76" s="476"/>
      <c r="IT76" s="476"/>
      <c r="IU76" s="476"/>
      <c r="IV76" s="476"/>
      <c r="IW76" s="476"/>
      <c r="IX76" s="476"/>
      <c r="IY76" s="476"/>
      <c r="IZ76" s="476"/>
      <c r="JA76" s="476"/>
      <c r="JB76" s="476"/>
      <c r="JC76" s="476"/>
      <c r="JD76" s="476"/>
      <c r="JE76" s="476"/>
      <c r="JF76" s="476"/>
      <c r="JG76" s="476"/>
      <c r="JH76" s="476"/>
      <c r="JI76" s="476"/>
      <c r="JJ76" s="476"/>
      <c r="JK76" s="476"/>
      <c r="JL76" s="476"/>
      <c r="JM76" s="476"/>
      <c r="JN76" s="476"/>
      <c r="JO76" s="476"/>
      <c r="JP76" s="476"/>
      <c r="JQ76" s="476"/>
      <c r="JR76" s="476"/>
      <c r="JS76" s="476"/>
      <c r="JT76" s="476"/>
      <c r="JU76" s="476"/>
      <c r="JV76" s="476"/>
      <c r="JW76" s="476"/>
      <c r="JX76" s="476"/>
      <c r="JY76" s="476"/>
      <c r="JZ76" s="476"/>
      <c r="KA76" s="476"/>
      <c r="KB76" s="476"/>
      <c r="KC76" s="476"/>
      <c r="KD76" s="476"/>
      <c r="KE76" s="476"/>
      <c r="KF76" s="476"/>
      <c r="KG76" s="476"/>
      <c r="KH76" s="476"/>
      <c r="KI76" s="476"/>
      <c r="KJ76" s="476"/>
      <c r="KK76" s="476"/>
      <c r="KL76" s="476"/>
      <c r="KM76" s="476"/>
      <c r="KN76" s="476"/>
      <c r="KO76" s="476"/>
      <c r="KP76" s="476"/>
      <c r="KQ76" s="476"/>
      <c r="KR76" s="476"/>
      <c r="KS76" s="476"/>
      <c r="KT76" s="476"/>
      <c r="KU76" s="476"/>
      <c r="KV76" s="476"/>
      <c r="KW76" s="476"/>
      <c r="KX76" s="476"/>
      <c r="KY76" s="476"/>
      <c r="KZ76" s="476"/>
      <c r="LA76" s="476"/>
      <c r="LB76" s="476"/>
      <c r="LC76" s="476"/>
      <c r="LD76" s="476"/>
      <c r="LE76" s="476"/>
      <c r="LF76" s="476"/>
      <c r="LG76" s="476"/>
      <c r="LH76" s="476"/>
      <c r="LI76" s="476"/>
      <c r="LJ76" s="476"/>
      <c r="LK76" s="476"/>
      <c r="LL76" s="476"/>
      <c r="LM76" s="476"/>
      <c r="LN76" s="476"/>
      <c r="LO76" s="476"/>
      <c r="LP76" s="476"/>
      <c r="LQ76" s="476"/>
      <c r="LR76" s="476"/>
      <c r="LS76" s="476"/>
      <c r="LT76" s="476"/>
      <c r="LU76" s="476"/>
      <c r="LV76" s="476"/>
      <c r="LW76" s="476"/>
      <c r="LX76" s="476"/>
      <c r="LY76" s="476"/>
      <c r="LZ76" s="476"/>
      <c r="MA76" s="476"/>
      <c r="MB76" s="476"/>
      <c r="MC76" s="476"/>
      <c r="MD76" s="476"/>
      <c r="ME76" s="476"/>
      <c r="MF76" s="476"/>
      <c r="MG76" s="476"/>
      <c r="MH76" s="476"/>
      <c r="MI76" s="476"/>
      <c r="MJ76" s="476"/>
      <c r="MK76" s="476"/>
      <c r="ML76" s="476"/>
      <c r="MM76" s="476"/>
      <c r="MN76" s="476"/>
      <c r="MO76" s="476"/>
      <c r="MP76" s="476"/>
      <c r="MQ76" s="476"/>
      <c r="MR76" s="476"/>
      <c r="MS76" s="476"/>
      <c r="MT76" s="476"/>
      <c r="MU76" s="476"/>
      <c r="MV76" s="476"/>
      <c r="MW76" s="476"/>
      <c r="MX76" s="476"/>
      <c r="MY76" s="476"/>
      <c r="MZ76" s="476"/>
      <c r="NA76" s="476"/>
      <c r="NB76" s="476"/>
      <c r="NC76" s="476"/>
      <c r="ND76" s="476"/>
      <c r="NE76" s="476"/>
      <c r="NF76" s="476"/>
      <c r="NG76" s="476"/>
      <c r="NH76" s="476"/>
      <c r="NI76" s="476"/>
      <c r="NJ76" s="476"/>
      <c r="NK76" s="476"/>
      <c r="NL76" s="476"/>
      <c r="NM76" s="476"/>
      <c r="NN76" s="476"/>
      <c r="NO76" s="476"/>
      <c r="NP76" s="476"/>
      <c r="NQ76" s="476"/>
      <c r="NR76" s="476"/>
      <c r="NS76" s="476"/>
      <c r="NT76" s="476"/>
      <c r="NU76" s="476"/>
      <c r="NV76" s="476"/>
      <c r="NW76" s="476"/>
      <c r="NX76" s="476"/>
      <c r="NY76" s="476"/>
      <c r="NZ76" s="476"/>
      <c r="OA76" s="476"/>
      <c r="OB76" s="476"/>
      <c r="OC76" s="476"/>
      <c r="OD76" s="476"/>
      <c r="OE76" s="476"/>
      <c r="OF76" s="476"/>
      <c r="OG76" s="476"/>
      <c r="OH76" s="476"/>
      <c r="OI76" s="476"/>
      <c r="OJ76" s="476"/>
      <c r="OK76" s="476"/>
      <c r="OL76" s="476"/>
      <c r="OM76" s="476"/>
      <c r="ON76" s="476"/>
      <c r="OO76" s="476"/>
      <c r="OP76" s="476"/>
      <c r="OQ76" s="476"/>
      <c r="OR76" s="476"/>
      <c r="OS76" s="476"/>
      <c r="OT76" s="476"/>
    </row>
    <row r="77" spans="2:410" s="474" customFormat="1" x14ac:dyDescent="0.25">
      <c r="D77" s="476"/>
      <c r="E77" s="476"/>
      <c r="F77" s="476"/>
      <c r="G77" s="477"/>
      <c r="H77" s="476"/>
      <c r="I77" s="476"/>
      <c r="J77" s="476"/>
      <c r="K77" s="476"/>
      <c r="L77" s="476"/>
      <c r="M77" s="476"/>
      <c r="N77" s="476"/>
      <c r="O77" s="476"/>
      <c r="P77" s="476"/>
      <c r="Q77" s="476"/>
      <c r="R77" s="476"/>
      <c r="S77" s="476"/>
      <c r="T77" s="476"/>
      <c r="U77" s="476"/>
      <c r="V77" s="476"/>
      <c r="W77" s="476"/>
      <c r="X77" s="476"/>
      <c r="Y77" s="476"/>
      <c r="Z77" s="476"/>
      <c r="AA77" s="476"/>
      <c r="AB77" s="476"/>
      <c r="AC77" s="476"/>
      <c r="AD77" s="476"/>
      <c r="AE77" s="476"/>
      <c r="AF77" s="476"/>
      <c r="AG77" s="476"/>
      <c r="AH77" s="476"/>
      <c r="AI77" s="476"/>
      <c r="AJ77" s="476"/>
      <c r="AK77" s="476"/>
      <c r="AL77" s="476"/>
      <c r="AM77" s="476"/>
      <c r="AN77" s="476"/>
      <c r="AO77" s="476"/>
      <c r="AP77" s="476"/>
      <c r="AQ77" s="476"/>
      <c r="AR77" s="476"/>
      <c r="AS77" s="476"/>
      <c r="AT77" s="476"/>
      <c r="AU77" s="476"/>
      <c r="AV77" s="476"/>
      <c r="AW77" s="476"/>
      <c r="AX77" s="476"/>
      <c r="AY77" s="476"/>
      <c r="AZ77" s="476"/>
      <c r="BA77" s="476"/>
      <c r="BB77" s="476"/>
      <c r="BC77" s="476"/>
      <c r="BD77" s="476"/>
      <c r="BE77" s="476"/>
      <c r="BF77" s="476"/>
      <c r="BG77" s="476"/>
      <c r="BH77" s="476"/>
      <c r="BI77" s="476"/>
      <c r="BJ77" s="476"/>
      <c r="BK77" s="476"/>
      <c r="BL77" s="476"/>
      <c r="BM77" s="476"/>
      <c r="BN77" s="476"/>
      <c r="BO77" s="476"/>
      <c r="BP77" s="476"/>
      <c r="BQ77" s="476"/>
      <c r="BR77" s="476"/>
      <c r="BS77" s="476"/>
      <c r="BT77" s="476"/>
      <c r="BU77" s="476"/>
      <c r="BV77" s="476"/>
      <c r="BW77" s="476"/>
      <c r="BX77" s="476"/>
      <c r="BY77" s="476"/>
      <c r="BZ77" s="476"/>
      <c r="CA77" s="476"/>
      <c r="CB77" s="476"/>
      <c r="CC77" s="476"/>
      <c r="CD77" s="476"/>
      <c r="CE77" s="476"/>
      <c r="CF77" s="476"/>
      <c r="CG77" s="476"/>
      <c r="CH77" s="476"/>
      <c r="CI77" s="476"/>
      <c r="CJ77" s="476"/>
      <c r="CK77" s="476"/>
      <c r="CL77" s="476"/>
      <c r="CM77" s="476"/>
      <c r="CN77" s="476"/>
      <c r="CO77" s="476"/>
      <c r="CP77" s="476"/>
      <c r="CQ77" s="476"/>
      <c r="CR77" s="476"/>
      <c r="CS77" s="476"/>
      <c r="CT77" s="476"/>
      <c r="CU77" s="476"/>
      <c r="CV77" s="476"/>
      <c r="CW77" s="476"/>
      <c r="CX77" s="476"/>
      <c r="CY77" s="476"/>
      <c r="CZ77" s="476"/>
      <c r="DA77" s="476"/>
      <c r="DB77" s="476"/>
      <c r="DC77" s="476"/>
      <c r="DD77" s="476"/>
      <c r="DE77" s="476"/>
      <c r="DF77" s="476"/>
      <c r="DG77" s="476"/>
      <c r="DH77" s="476"/>
      <c r="DI77" s="476"/>
      <c r="DJ77" s="476"/>
      <c r="DK77" s="476"/>
      <c r="DL77" s="476"/>
      <c r="DM77" s="476"/>
      <c r="DN77" s="476"/>
      <c r="DO77" s="476"/>
      <c r="DP77" s="476"/>
      <c r="DQ77" s="476"/>
      <c r="DR77" s="476"/>
      <c r="DS77" s="476"/>
      <c r="DT77" s="476"/>
      <c r="DU77" s="476"/>
      <c r="DV77" s="476"/>
      <c r="DW77" s="476"/>
      <c r="DX77" s="476"/>
      <c r="DY77" s="476"/>
      <c r="DZ77" s="476"/>
      <c r="EA77" s="476"/>
      <c r="EB77" s="476"/>
      <c r="EC77" s="476"/>
      <c r="ED77" s="476"/>
      <c r="EE77" s="476"/>
      <c r="EF77" s="476"/>
      <c r="EG77" s="476"/>
      <c r="EH77" s="476"/>
      <c r="EI77" s="476"/>
      <c r="EJ77" s="476"/>
      <c r="EK77" s="476"/>
      <c r="EL77" s="476"/>
      <c r="EM77" s="476"/>
      <c r="EN77" s="476"/>
      <c r="EO77" s="476"/>
      <c r="EP77" s="476"/>
      <c r="EQ77" s="476"/>
      <c r="ER77" s="476"/>
      <c r="ES77" s="476"/>
      <c r="ET77" s="476"/>
      <c r="EU77" s="476"/>
      <c r="EV77" s="476"/>
      <c r="EW77" s="476"/>
      <c r="EX77" s="476"/>
      <c r="EY77" s="476"/>
      <c r="EZ77" s="476"/>
      <c r="FA77" s="476"/>
      <c r="FB77" s="476"/>
      <c r="FC77" s="476"/>
      <c r="FD77" s="476"/>
      <c r="FE77" s="476"/>
      <c r="FF77" s="476"/>
      <c r="FG77" s="476"/>
      <c r="FH77" s="476"/>
      <c r="FI77" s="476"/>
      <c r="FJ77" s="476"/>
      <c r="FK77" s="476"/>
      <c r="FL77" s="476"/>
      <c r="FM77" s="476"/>
      <c r="FN77" s="476"/>
      <c r="FO77" s="476"/>
      <c r="FP77" s="476"/>
      <c r="FQ77" s="476"/>
      <c r="FR77" s="476"/>
      <c r="FS77" s="476"/>
      <c r="FT77" s="476"/>
      <c r="FU77" s="476"/>
      <c r="FV77" s="476"/>
      <c r="FW77" s="476"/>
      <c r="FX77" s="476"/>
      <c r="FY77" s="476"/>
      <c r="FZ77" s="476"/>
      <c r="GA77" s="476"/>
      <c r="GB77" s="476"/>
      <c r="GC77" s="476"/>
      <c r="GD77" s="476"/>
      <c r="GE77" s="476"/>
      <c r="GF77" s="476"/>
      <c r="GG77" s="476"/>
      <c r="GH77" s="476"/>
      <c r="GI77" s="476"/>
      <c r="GJ77" s="476"/>
      <c r="GK77" s="476"/>
      <c r="GL77" s="476"/>
      <c r="GM77" s="476"/>
      <c r="GN77" s="476"/>
      <c r="GO77" s="476"/>
      <c r="GP77" s="476"/>
      <c r="GQ77" s="476"/>
      <c r="GR77" s="476"/>
      <c r="GS77" s="476"/>
      <c r="GT77" s="476"/>
      <c r="GU77" s="476"/>
      <c r="GV77" s="476"/>
      <c r="GW77" s="476"/>
      <c r="GX77" s="476"/>
      <c r="GY77" s="476"/>
      <c r="GZ77" s="476"/>
      <c r="HA77" s="476"/>
      <c r="HB77" s="476"/>
      <c r="HC77" s="476"/>
      <c r="HD77" s="476"/>
      <c r="HE77" s="476"/>
      <c r="HF77" s="476"/>
      <c r="HG77" s="476"/>
      <c r="HH77" s="476"/>
      <c r="HI77" s="476"/>
      <c r="HJ77" s="476"/>
      <c r="HK77" s="476"/>
      <c r="HL77" s="476"/>
      <c r="HM77" s="476"/>
      <c r="HN77" s="476"/>
      <c r="HO77" s="476"/>
      <c r="HP77" s="476"/>
      <c r="HQ77" s="476"/>
      <c r="HR77" s="476"/>
      <c r="HS77" s="476"/>
      <c r="HT77" s="476"/>
      <c r="HU77" s="476"/>
      <c r="HV77" s="476"/>
      <c r="HW77" s="476"/>
      <c r="HX77" s="476"/>
      <c r="HY77" s="476"/>
      <c r="HZ77" s="476"/>
      <c r="IA77" s="476"/>
      <c r="IB77" s="476"/>
      <c r="IC77" s="476"/>
      <c r="ID77" s="476"/>
      <c r="IE77" s="476"/>
      <c r="IF77" s="476"/>
      <c r="IG77" s="476"/>
      <c r="IH77" s="476"/>
      <c r="II77" s="476"/>
      <c r="IJ77" s="476"/>
      <c r="IK77" s="476"/>
      <c r="IL77" s="476"/>
      <c r="IM77" s="476"/>
      <c r="IN77" s="476"/>
      <c r="IO77" s="476"/>
      <c r="IP77" s="476"/>
      <c r="IQ77" s="476"/>
      <c r="IR77" s="476"/>
      <c r="IS77" s="476"/>
      <c r="IT77" s="476"/>
      <c r="IU77" s="476"/>
      <c r="IV77" s="476"/>
      <c r="IW77" s="476"/>
      <c r="IX77" s="476"/>
      <c r="IY77" s="476"/>
      <c r="IZ77" s="476"/>
      <c r="JA77" s="476"/>
      <c r="JB77" s="476"/>
      <c r="JC77" s="476"/>
      <c r="JD77" s="476"/>
      <c r="JE77" s="476"/>
      <c r="JF77" s="476"/>
      <c r="JG77" s="476"/>
      <c r="JH77" s="476"/>
      <c r="JI77" s="476"/>
      <c r="JJ77" s="476"/>
      <c r="JK77" s="476"/>
      <c r="JL77" s="476"/>
      <c r="JM77" s="476"/>
      <c r="JN77" s="476"/>
      <c r="JO77" s="476"/>
      <c r="JP77" s="476"/>
      <c r="JQ77" s="476"/>
      <c r="JR77" s="476"/>
      <c r="JS77" s="476"/>
      <c r="JT77" s="476"/>
      <c r="JU77" s="476"/>
      <c r="JV77" s="476"/>
      <c r="JW77" s="476"/>
      <c r="JX77" s="476"/>
      <c r="JY77" s="476"/>
      <c r="JZ77" s="476"/>
      <c r="KA77" s="476"/>
      <c r="KB77" s="476"/>
      <c r="KC77" s="476"/>
      <c r="KD77" s="476"/>
      <c r="KE77" s="476"/>
      <c r="KF77" s="476"/>
      <c r="KG77" s="476"/>
      <c r="KH77" s="476"/>
      <c r="KI77" s="476"/>
      <c r="KJ77" s="476"/>
      <c r="KK77" s="476"/>
      <c r="KL77" s="476"/>
      <c r="KM77" s="476"/>
      <c r="KN77" s="476"/>
      <c r="KO77" s="476"/>
      <c r="KP77" s="476"/>
      <c r="KQ77" s="476"/>
      <c r="KR77" s="476"/>
      <c r="KS77" s="476"/>
      <c r="KT77" s="476"/>
      <c r="KU77" s="476"/>
      <c r="KV77" s="476"/>
      <c r="KW77" s="476"/>
      <c r="KX77" s="476"/>
      <c r="KY77" s="476"/>
      <c r="KZ77" s="476"/>
      <c r="LA77" s="476"/>
      <c r="LB77" s="476"/>
      <c r="LC77" s="476"/>
      <c r="LD77" s="476"/>
      <c r="LE77" s="476"/>
      <c r="LF77" s="476"/>
      <c r="LG77" s="476"/>
      <c r="LH77" s="476"/>
      <c r="LI77" s="476"/>
      <c r="LJ77" s="476"/>
      <c r="LK77" s="476"/>
      <c r="LL77" s="476"/>
      <c r="LM77" s="476"/>
      <c r="LN77" s="476"/>
      <c r="LO77" s="476"/>
      <c r="LP77" s="476"/>
      <c r="LQ77" s="476"/>
      <c r="LR77" s="476"/>
      <c r="LS77" s="476"/>
      <c r="LT77" s="476"/>
      <c r="LU77" s="476"/>
      <c r="LV77" s="476"/>
      <c r="LW77" s="476"/>
      <c r="LX77" s="476"/>
      <c r="LY77" s="476"/>
      <c r="LZ77" s="476"/>
      <c r="MA77" s="476"/>
      <c r="MB77" s="476"/>
      <c r="MC77" s="476"/>
      <c r="MD77" s="476"/>
      <c r="ME77" s="476"/>
      <c r="MF77" s="476"/>
      <c r="MG77" s="476"/>
      <c r="MH77" s="476"/>
      <c r="MI77" s="476"/>
      <c r="MJ77" s="476"/>
      <c r="MK77" s="476"/>
      <c r="ML77" s="476"/>
      <c r="MM77" s="476"/>
      <c r="MN77" s="476"/>
      <c r="MO77" s="476"/>
      <c r="MP77" s="476"/>
      <c r="MQ77" s="476"/>
      <c r="MR77" s="476"/>
      <c r="MS77" s="476"/>
      <c r="MT77" s="476"/>
      <c r="MU77" s="476"/>
      <c r="MV77" s="476"/>
      <c r="MW77" s="476"/>
      <c r="MX77" s="476"/>
      <c r="MY77" s="476"/>
      <c r="MZ77" s="476"/>
      <c r="NA77" s="476"/>
      <c r="NB77" s="476"/>
      <c r="NC77" s="476"/>
      <c r="ND77" s="476"/>
      <c r="NE77" s="476"/>
      <c r="NF77" s="476"/>
      <c r="NG77" s="476"/>
      <c r="NH77" s="476"/>
      <c r="NI77" s="476"/>
      <c r="NJ77" s="476"/>
      <c r="NK77" s="476"/>
      <c r="NL77" s="476"/>
      <c r="NM77" s="476"/>
      <c r="NN77" s="476"/>
      <c r="NO77" s="476"/>
      <c r="NP77" s="476"/>
      <c r="NQ77" s="476"/>
      <c r="NR77" s="476"/>
      <c r="NS77" s="476"/>
      <c r="NT77" s="476"/>
      <c r="NU77" s="476"/>
      <c r="NV77" s="476"/>
      <c r="NW77" s="476"/>
      <c r="NX77" s="476"/>
      <c r="NY77" s="476"/>
      <c r="NZ77" s="476"/>
      <c r="OA77" s="476"/>
      <c r="OB77" s="476"/>
      <c r="OC77" s="476"/>
      <c r="OD77" s="476"/>
      <c r="OE77" s="476"/>
      <c r="OF77" s="476"/>
      <c r="OG77" s="476"/>
      <c r="OH77" s="476"/>
      <c r="OI77" s="476"/>
      <c r="OJ77" s="476"/>
      <c r="OK77" s="476"/>
      <c r="OL77" s="476"/>
      <c r="OM77" s="476"/>
      <c r="ON77" s="476"/>
      <c r="OO77" s="476"/>
      <c r="OP77" s="476"/>
      <c r="OQ77" s="476"/>
      <c r="OR77" s="476"/>
      <c r="OS77" s="476"/>
      <c r="OT77" s="476"/>
    </row>
    <row r="78" spans="2:410" s="474" customFormat="1" ht="18" x14ac:dyDescent="0.25">
      <c r="B78" s="463" t="s">
        <v>811</v>
      </c>
      <c r="C78" s="463"/>
      <c r="D78" s="463"/>
      <c r="E78" s="463"/>
    </row>
    <row r="79" spans="2:410" x14ac:dyDescent="0.25">
      <c r="B79" s="482" t="s">
        <v>432</v>
      </c>
      <c r="C79" s="481">
        <v>0.12</v>
      </c>
      <c r="D79" s="482" t="s">
        <v>810</v>
      </c>
      <c r="E79" s="473">
        <f>C79*(44/12)</f>
        <v>0.43999999999999995</v>
      </c>
    </row>
    <row r="80" spans="2:410" x14ac:dyDescent="0.25">
      <c r="B80" s="482" t="s">
        <v>433</v>
      </c>
      <c r="C80" s="481">
        <v>0.13</v>
      </c>
      <c r="D80" s="482" t="s">
        <v>435</v>
      </c>
      <c r="E80" s="473">
        <f>C80*(44/12)</f>
        <v>0.47666666666666668</v>
      </c>
    </row>
    <row r="81" spans="2:5" x14ac:dyDescent="0.25">
      <c r="B81" s="482" t="s">
        <v>434</v>
      </c>
      <c r="C81" s="481">
        <v>0.2</v>
      </c>
      <c r="D81" s="482" t="s">
        <v>450</v>
      </c>
      <c r="E81" s="473">
        <f>C81*(44/12)/0.47</f>
        <v>1.5602836879432627</v>
      </c>
    </row>
    <row r="82" spans="2:5" x14ac:dyDescent="0.25">
      <c r="B82" s="483" t="s">
        <v>266</v>
      </c>
    </row>
    <row r="84" spans="2:5" x14ac:dyDescent="0.25">
      <c r="B84" s="85"/>
      <c r="C84" s="480"/>
      <c r="D84" s="85"/>
    </row>
    <row r="85" spans="2:5" x14ac:dyDescent="0.25">
      <c r="B85" s="85"/>
      <c r="C85" s="480"/>
      <c r="D85" s="85"/>
    </row>
    <row r="86" spans="2:5" x14ac:dyDescent="0.25">
      <c r="B86" s="85"/>
      <c r="C86" s="85"/>
      <c r="D86" s="85"/>
    </row>
    <row r="87" spans="2:5" x14ac:dyDescent="0.25">
      <c r="B87" s="85"/>
      <c r="C87" s="85"/>
      <c r="D87" s="85"/>
    </row>
    <row r="88" spans="2:5" x14ac:dyDescent="0.25">
      <c r="B88" s="85"/>
      <c r="C88" s="85"/>
      <c r="D88" s="85"/>
    </row>
    <row r="89" spans="2:5" x14ac:dyDescent="0.25">
      <c r="B89" s="85"/>
      <c r="C89" s="71"/>
      <c r="D89" s="85"/>
    </row>
    <row r="90" spans="2:5" x14ac:dyDescent="0.25">
      <c r="B90" s="85"/>
      <c r="C90" s="71"/>
    </row>
    <row r="92" spans="2:5" x14ac:dyDescent="0.25">
      <c r="B92" s="478"/>
    </row>
    <row r="93" spans="2:5" x14ac:dyDescent="0.25">
      <c r="B93" s="478"/>
    </row>
    <row r="94" spans="2:5" x14ac:dyDescent="0.25">
      <c r="B94" s="478"/>
    </row>
    <row r="95" spans="2:5" x14ac:dyDescent="0.25">
      <c r="B95" s="479"/>
    </row>
    <row r="96" spans="2:5" x14ac:dyDescent="0.25">
      <c r="B96" s="230"/>
    </row>
  </sheetData>
  <pageMargins left="0.511811024" right="0.511811024" top="0.78740157499999996" bottom="0.78740157499999996" header="0.31496062000000002" footer="0.31496062000000002"/>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Plan2">
    <tabColor rgb="FFC00000"/>
  </sheetPr>
  <dimension ref="A1:AP72"/>
  <sheetViews>
    <sheetView showGridLines="0" workbookViewId="0">
      <selection activeCell="H7" sqref="H7:H8"/>
    </sheetView>
  </sheetViews>
  <sheetFormatPr defaultRowHeight="15" x14ac:dyDescent="0.25"/>
  <cols>
    <col min="2" max="2" width="37.140625" bestFit="1" customWidth="1"/>
    <col min="3" max="6" width="16.5703125" customWidth="1"/>
  </cols>
  <sheetData>
    <row r="1" spans="1:5" x14ac:dyDescent="0.25">
      <c r="A1" s="526" t="s">
        <v>818</v>
      </c>
    </row>
    <row r="3" spans="1:5" ht="18.75" x14ac:dyDescent="0.25">
      <c r="B3" s="437" t="s">
        <v>171</v>
      </c>
      <c r="C3" s="437"/>
      <c r="D3" s="437"/>
      <c r="E3" s="437"/>
    </row>
    <row r="4" spans="1:5" ht="30" x14ac:dyDescent="0.25">
      <c r="B4" s="433"/>
      <c r="C4" s="434" t="s">
        <v>172</v>
      </c>
      <c r="D4" s="434" t="s">
        <v>381</v>
      </c>
      <c r="E4" s="434" t="s">
        <v>775</v>
      </c>
    </row>
    <row r="5" spans="1:5" x14ac:dyDescent="0.25">
      <c r="B5" s="273" t="s">
        <v>173</v>
      </c>
      <c r="C5" s="432">
        <f>COLUMN(E1GC!$D$36)</f>
        <v>4</v>
      </c>
      <c r="D5" s="432">
        <f>COLUMN(E1GC!$AG$36)</f>
        <v>33</v>
      </c>
      <c r="E5" s="432">
        <f>COLUMN(E1GC!$AP$36)</f>
        <v>42</v>
      </c>
    </row>
    <row r="6" spans="1:5" x14ac:dyDescent="0.25">
      <c r="B6" s="273" t="s">
        <v>174</v>
      </c>
      <c r="C6" s="432">
        <f>COLUMN(E1GC!$C$57)</f>
        <v>3</v>
      </c>
      <c r="D6" s="432">
        <f>COLUMN(E1GC!$AF$57)</f>
        <v>32</v>
      </c>
      <c r="E6" s="432">
        <f>COLUMN(E1GC!$AO$57)</f>
        <v>41</v>
      </c>
    </row>
    <row r="7" spans="1:5" x14ac:dyDescent="0.25">
      <c r="B7" s="435" t="s">
        <v>175</v>
      </c>
      <c r="C7" s="436">
        <f>COLUMN(E1GC!$G$62)</f>
        <v>7</v>
      </c>
      <c r="D7" s="436">
        <f>COLUMN(E1GC!$AJ$62)</f>
        <v>36</v>
      </c>
      <c r="E7" s="436">
        <f>COLUMN(E1GC!$AS$62)</f>
        <v>45</v>
      </c>
    </row>
    <row r="8" spans="1:5" x14ac:dyDescent="0.25">
      <c r="B8" s="273" t="s">
        <v>772</v>
      </c>
      <c r="C8" s="432">
        <f>ROW(E1GC!$D$36)</f>
        <v>36</v>
      </c>
      <c r="D8" s="432"/>
      <c r="E8" s="432"/>
    </row>
    <row r="9" spans="1:5" x14ac:dyDescent="0.25">
      <c r="B9" s="273" t="s">
        <v>192</v>
      </c>
      <c r="C9" s="432">
        <f>ROW(E1GC!$D$39)</f>
        <v>39</v>
      </c>
      <c r="D9" s="432"/>
      <c r="E9" s="432"/>
    </row>
    <row r="10" spans="1:5" x14ac:dyDescent="0.25">
      <c r="B10" s="273" t="s">
        <v>193</v>
      </c>
      <c r="C10" s="432">
        <f>ROW(E1GC!$D$41)</f>
        <v>41</v>
      </c>
      <c r="D10" s="432"/>
      <c r="E10" s="432"/>
    </row>
    <row r="11" spans="1:5" x14ac:dyDescent="0.25">
      <c r="B11" s="273" t="s">
        <v>194</v>
      </c>
      <c r="C11" s="432">
        <f>ROW(E1GC!$D$44)</f>
        <v>44</v>
      </c>
      <c r="D11" s="432"/>
      <c r="E11" s="432"/>
    </row>
    <row r="12" spans="1:5" x14ac:dyDescent="0.25">
      <c r="B12" s="273" t="s">
        <v>195</v>
      </c>
      <c r="C12" s="432">
        <f>ROW(E1GC!$D$59)</f>
        <v>59</v>
      </c>
      <c r="D12" s="432"/>
      <c r="E12" s="432"/>
    </row>
    <row r="13" spans="1:5" x14ac:dyDescent="0.25">
      <c r="B13" s="273" t="s">
        <v>200</v>
      </c>
      <c r="C13" s="432">
        <f>ROW(E1GC!$C$57)</f>
        <v>57</v>
      </c>
      <c r="D13" s="432"/>
      <c r="E13" s="432"/>
    </row>
    <row r="14" spans="1:5" x14ac:dyDescent="0.25">
      <c r="B14" s="273" t="s">
        <v>201</v>
      </c>
      <c r="C14" s="432">
        <f>ROW(E1GC!$C$59)</f>
        <v>59</v>
      </c>
      <c r="D14" s="432"/>
      <c r="E14" s="432"/>
    </row>
    <row r="15" spans="1:5" x14ac:dyDescent="0.25">
      <c r="B15" s="273" t="s">
        <v>196</v>
      </c>
      <c r="C15" s="432">
        <f>ROW(E1GC!$D$62)</f>
        <v>62</v>
      </c>
      <c r="D15" s="432"/>
      <c r="E15" s="432"/>
    </row>
    <row r="16" spans="1:5" x14ac:dyDescent="0.25">
      <c r="B16" s="273" t="s">
        <v>197</v>
      </c>
      <c r="C16" s="432">
        <f>ROW(E1GC!$D$66)</f>
        <v>66</v>
      </c>
      <c r="D16" s="432"/>
      <c r="E16" s="432"/>
    </row>
    <row r="17" spans="2:5" x14ac:dyDescent="0.25">
      <c r="B17" s="273" t="s">
        <v>202</v>
      </c>
      <c r="C17" s="432">
        <f>ROW(E1GC!$C$65)</f>
        <v>65</v>
      </c>
      <c r="D17" s="432"/>
      <c r="E17" s="432"/>
    </row>
    <row r="18" spans="2:5" x14ac:dyDescent="0.25">
      <c r="B18" s="273" t="s">
        <v>203</v>
      </c>
      <c r="C18" s="432">
        <f>ROW(E1GC!$C$66)</f>
        <v>66</v>
      </c>
      <c r="D18" s="432"/>
      <c r="E18" s="432"/>
    </row>
    <row r="19" spans="2:5" x14ac:dyDescent="0.25">
      <c r="B19" s="273" t="s">
        <v>198</v>
      </c>
      <c r="C19" s="432">
        <f>ROW(E1GC!$D$69)</f>
        <v>69</v>
      </c>
      <c r="D19" s="432"/>
      <c r="E19" s="432"/>
    </row>
    <row r="20" spans="2:5" x14ac:dyDescent="0.25">
      <c r="B20" s="273" t="s">
        <v>199</v>
      </c>
      <c r="C20" s="432">
        <f>ROW(E1GC!$D$83)</f>
        <v>83</v>
      </c>
      <c r="D20" s="432"/>
      <c r="E20" s="432"/>
    </row>
    <row r="21" spans="2:5" x14ac:dyDescent="0.25">
      <c r="B21" s="435" t="s">
        <v>773</v>
      </c>
      <c r="C21" s="436">
        <f>ROW(E1GC!$G$71)</f>
        <v>71</v>
      </c>
      <c r="D21" s="436"/>
      <c r="E21" s="436"/>
    </row>
    <row r="22" spans="2:5" x14ac:dyDescent="0.25">
      <c r="B22" s="273" t="s">
        <v>204</v>
      </c>
      <c r="C22" s="432" t="e">
        <f>ROW(E1GC!#REF!)</f>
        <v>#REF!</v>
      </c>
      <c r="D22" s="432"/>
      <c r="E22" s="432"/>
    </row>
    <row r="23" spans="2:5" x14ac:dyDescent="0.25">
      <c r="B23" s="435" t="s">
        <v>771</v>
      </c>
      <c r="C23" s="436" t="e">
        <f>COLUMN(E1GC!#REF!)</f>
        <v>#REF!</v>
      </c>
      <c r="D23" s="436"/>
      <c r="E23" s="436"/>
    </row>
    <row r="24" spans="2:5" x14ac:dyDescent="0.25">
      <c r="B24" s="435" t="s">
        <v>355</v>
      </c>
      <c r="C24" s="436">
        <f>ROW(E1GC!$M$27)</f>
        <v>27</v>
      </c>
      <c r="D24" s="436"/>
      <c r="E24" s="436"/>
    </row>
    <row r="27" spans="2:5" ht="18.75" x14ac:dyDescent="0.25">
      <c r="B27" s="437" t="s">
        <v>776</v>
      </c>
      <c r="C27" s="437"/>
      <c r="D27" s="437"/>
      <c r="E27" s="437"/>
    </row>
    <row r="28" spans="2:5" ht="30" x14ac:dyDescent="0.25">
      <c r="B28" s="433"/>
      <c r="C28" s="434" t="s">
        <v>172</v>
      </c>
      <c r="D28" s="434" t="s">
        <v>381</v>
      </c>
      <c r="E28" s="434" t="s">
        <v>775</v>
      </c>
    </row>
    <row r="29" spans="2:5" x14ac:dyDescent="0.25">
      <c r="B29" s="273" t="s">
        <v>173</v>
      </c>
      <c r="C29" s="432">
        <f>COLUMN(E1G2G!$D$36)</f>
        <v>4</v>
      </c>
      <c r="D29" s="432">
        <f>COLUMN(E1G2G!$AG$36)</f>
        <v>33</v>
      </c>
      <c r="E29" s="432">
        <f>COLUMN(E1G2G!$AP$36)</f>
        <v>42</v>
      </c>
    </row>
    <row r="30" spans="2:5" x14ac:dyDescent="0.25">
      <c r="B30" s="273" t="s">
        <v>174</v>
      </c>
      <c r="C30" s="432">
        <f>COLUMN(E1G2G!$C$57)</f>
        <v>3</v>
      </c>
      <c r="D30" s="432">
        <f>COLUMN(E1G2G!$AF$57)</f>
        <v>32</v>
      </c>
      <c r="E30" s="432">
        <f>COLUMN(E1G2G!$AO$57)</f>
        <v>41</v>
      </c>
    </row>
    <row r="31" spans="2:5" x14ac:dyDescent="0.25">
      <c r="B31" s="435" t="s">
        <v>175</v>
      </c>
      <c r="C31" s="436">
        <f>COLUMN(E1G2G!$G$62)</f>
        <v>7</v>
      </c>
      <c r="D31" s="436">
        <f>COLUMN(E1G2G!$AJ$62)</f>
        <v>36</v>
      </c>
      <c r="E31" s="436">
        <f>COLUMN(E1G2G!$AS$62)</f>
        <v>45</v>
      </c>
    </row>
    <row r="32" spans="2:5" x14ac:dyDescent="0.25">
      <c r="B32" s="273" t="s">
        <v>772</v>
      </c>
      <c r="C32" s="432">
        <f>ROW(E1G2G!$D$36)</f>
        <v>36</v>
      </c>
      <c r="D32" s="432"/>
      <c r="E32" s="432"/>
    </row>
    <row r="33" spans="2:42" x14ac:dyDescent="0.25">
      <c r="B33" s="273" t="s">
        <v>192</v>
      </c>
      <c r="C33" s="432">
        <f>ROW(E1G2G!$D$39)</f>
        <v>39</v>
      </c>
      <c r="D33" s="432"/>
      <c r="E33" s="432"/>
    </row>
    <row r="34" spans="2:42" x14ac:dyDescent="0.25">
      <c r="B34" s="273" t="s">
        <v>193</v>
      </c>
      <c r="C34" s="432">
        <f>ROW(E1G2G!$D$41)</f>
        <v>41</v>
      </c>
      <c r="D34" s="432"/>
      <c r="E34" s="432"/>
    </row>
    <row r="35" spans="2:42" x14ac:dyDescent="0.25">
      <c r="B35" s="273" t="s">
        <v>194</v>
      </c>
      <c r="C35" s="432">
        <f>ROW(E1G2G!$D$44)</f>
        <v>44</v>
      </c>
      <c r="D35" s="432"/>
      <c r="E35" s="432"/>
    </row>
    <row r="36" spans="2:42" x14ac:dyDescent="0.25">
      <c r="B36" s="273" t="s">
        <v>195</v>
      </c>
      <c r="C36" s="432">
        <f>ROW(E1G2G!$D$59)</f>
        <v>59</v>
      </c>
      <c r="D36" s="432"/>
      <c r="E36" s="432"/>
    </row>
    <row r="37" spans="2:42" x14ac:dyDescent="0.25">
      <c r="B37" s="273" t="s">
        <v>200</v>
      </c>
      <c r="C37" s="432">
        <f>ROW(E1G2G!$C$57)</f>
        <v>57</v>
      </c>
      <c r="D37" s="432"/>
      <c r="E37" s="432"/>
    </row>
    <row r="38" spans="2:42" x14ac:dyDescent="0.25">
      <c r="B38" s="273" t="s">
        <v>201</v>
      </c>
      <c r="C38" s="432">
        <f>ROW(E1G2G!$C$59)</f>
        <v>59</v>
      </c>
      <c r="D38" s="432"/>
      <c r="E38" s="432"/>
      <c r="AP38" t="s">
        <v>381</v>
      </c>
    </row>
    <row r="39" spans="2:42" x14ac:dyDescent="0.25">
      <c r="B39" s="273" t="s">
        <v>196</v>
      </c>
      <c r="C39" s="432">
        <f>ROW(E1G2G!$D$62)</f>
        <v>62</v>
      </c>
      <c r="D39" s="432"/>
      <c r="E39" s="432"/>
    </row>
    <row r="40" spans="2:42" x14ac:dyDescent="0.25">
      <c r="B40" s="273" t="s">
        <v>197</v>
      </c>
      <c r="C40" s="432">
        <f>ROW(E1G2G!$D$66)</f>
        <v>66</v>
      </c>
      <c r="D40" s="432"/>
      <c r="E40" s="432"/>
    </row>
    <row r="41" spans="2:42" x14ac:dyDescent="0.25">
      <c r="B41" s="273" t="s">
        <v>202</v>
      </c>
      <c r="C41" s="432">
        <f>ROW(E1G2G!$C$65)</f>
        <v>65</v>
      </c>
      <c r="D41" s="432"/>
      <c r="E41" s="432"/>
    </row>
    <row r="42" spans="2:42" x14ac:dyDescent="0.25">
      <c r="B42" s="273" t="s">
        <v>203</v>
      </c>
      <c r="C42" s="432">
        <f>ROW(E1G2G!$C$66)</f>
        <v>66</v>
      </c>
      <c r="D42" s="432"/>
      <c r="E42" s="432"/>
    </row>
    <row r="43" spans="2:42" x14ac:dyDescent="0.25">
      <c r="B43" s="273" t="s">
        <v>198</v>
      </c>
      <c r="C43" s="432">
        <f>ROW(E1G2G!$D$69)</f>
        <v>69</v>
      </c>
      <c r="D43" s="432"/>
      <c r="E43" s="432"/>
    </row>
    <row r="44" spans="2:42" x14ac:dyDescent="0.25">
      <c r="B44" s="273" t="s">
        <v>199</v>
      </c>
      <c r="C44" s="432">
        <f>ROW(E1G2G!$D$83)</f>
        <v>83</v>
      </c>
      <c r="D44" s="432"/>
      <c r="E44" s="432"/>
    </row>
    <row r="45" spans="2:42" x14ac:dyDescent="0.25">
      <c r="B45" s="435" t="s">
        <v>773</v>
      </c>
      <c r="C45" s="436">
        <f>ROW(E1G2G!$G$71)</f>
        <v>71</v>
      </c>
      <c r="D45" s="436"/>
      <c r="E45" s="436"/>
    </row>
    <row r="46" spans="2:42" x14ac:dyDescent="0.25">
      <c r="B46" s="273" t="s">
        <v>204</v>
      </c>
      <c r="C46" s="432" t="e">
        <f>ROW(E1G2G!#REF!)</f>
        <v>#REF!</v>
      </c>
      <c r="D46" s="432"/>
      <c r="E46" s="432"/>
    </row>
    <row r="47" spans="2:42" x14ac:dyDescent="0.25">
      <c r="B47" s="435" t="s">
        <v>771</v>
      </c>
      <c r="C47" s="436" t="e">
        <f>COLUMN(E1G2G!#REF!)</f>
        <v>#REF!</v>
      </c>
      <c r="D47" s="436"/>
      <c r="E47" s="436"/>
    </row>
    <row r="48" spans="2:42" x14ac:dyDescent="0.25">
      <c r="B48" s="435" t="s">
        <v>355</v>
      </c>
      <c r="C48" s="436">
        <f>ROW(E1G2G!$M$27)</f>
        <v>27</v>
      </c>
      <c r="D48" s="436"/>
      <c r="E48" s="436"/>
    </row>
    <row r="51" spans="2:5" ht="18.75" x14ac:dyDescent="0.25">
      <c r="B51" s="437" t="s">
        <v>777</v>
      </c>
      <c r="C51" s="437"/>
      <c r="D51" s="437"/>
      <c r="E51" s="437"/>
    </row>
    <row r="52" spans="2:5" ht="30" x14ac:dyDescent="0.25">
      <c r="B52" s="433"/>
      <c r="C52" s="434" t="s">
        <v>172</v>
      </c>
      <c r="D52" s="434" t="s">
        <v>381</v>
      </c>
      <c r="E52" s="434" t="s">
        <v>775</v>
      </c>
    </row>
    <row r="53" spans="2:5" x14ac:dyDescent="0.25">
      <c r="B53" s="273" t="s">
        <v>173</v>
      </c>
      <c r="C53" s="432">
        <f>COLUMN('E1G Flex'!$D$38)</f>
        <v>4</v>
      </c>
      <c r="D53" s="432">
        <f>COLUMN('E1G Flex'!$AG$38)</f>
        <v>33</v>
      </c>
      <c r="E53" s="432">
        <f>COLUMN('E1G Flex'!$AP$38)</f>
        <v>42</v>
      </c>
    </row>
    <row r="54" spans="2:5" x14ac:dyDescent="0.25">
      <c r="B54" s="273" t="s">
        <v>174</v>
      </c>
      <c r="C54" s="432">
        <f>COLUMN('E1G Flex'!$C$59)</f>
        <v>3</v>
      </c>
      <c r="D54" s="432">
        <f>COLUMN('E1G Flex'!$AF$59)</f>
        <v>32</v>
      </c>
      <c r="E54" s="432">
        <f>COLUMN('E1G Flex'!$AO$59)</f>
        <v>41</v>
      </c>
    </row>
    <row r="55" spans="2:5" x14ac:dyDescent="0.25">
      <c r="B55" s="435" t="s">
        <v>175</v>
      </c>
      <c r="C55" s="436">
        <f>COLUMN('E1G Flex'!$G$64)</f>
        <v>7</v>
      </c>
      <c r="D55" s="436">
        <f>COLUMN('E1G Flex'!$AJ$64)</f>
        <v>36</v>
      </c>
      <c r="E55" s="436">
        <f>COLUMN('E1G Flex'!$AS$64)</f>
        <v>45</v>
      </c>
    </row>
    <row r="56" spans="2:5" x14ac:dyDescent="0.25">
      <c r="B56" s="273" t="s">
        <v>772</v>
      </c>
      <c r="C56" s="432">
        <f>ROW('E1G Flex'!$D$38)</f>
        <v>38</v>
      </c>
      <c r="D56" s="432"/>
      <c r="E56" s="432"/>
    </row>
    <row r="57" spans="2:5" x14ac:dyDescent="0.25">
      <c r="B57" s="273" t="s">
        <v>192</v>
      </c>
      <c r="C57" s="432">
        <f>ROW('E1G Flex'!$D$41)</f>
        <v>41</v>
      </c>
      <c r="D57" s="432"/>
      <c r="E57" s="432"/>
    </row>
    <row r="58" spans="2:5" x14ac:dyDescent="0.25">
      <c r="B58" s="273" t="s">
        <v>193</v>
      </c>
      <c r="C58" s="432">
        <f>ROW('E1G Flex'!$D$43)</f>
        <v>43</v>
      </c>
      <c r="D58" s="432"/>
      <c r="E58" s="432"/>
    </row>
    <row r="59" spans="2:5" x14ac:dyDescent="0.25">
      <c r="B59" s="273" t="s">
        <v>194</v>
      </c>
      <c r="C59" s="432">
        <f>ROW('E1G Flex'!$D$46)</f>
        <v>46</v>
      </c>
      <c r="D59" s="432"/>
      <c r="E59" s="432"/>
    </row>
    <row r="60" spans="2:5" x14ac:dyDescent="0.25">
      <c r="B60" s="273" t="s">
        <v>195</v>
      </c>
      <c r="C60" s="432">
        <f>ROW('E1G Flex'!$D$61)</f>
        <v>61</v>
      </c>
      <c r="D60" s="432"/>
      <c r="E60" s="432"/>
    </row>
    <row r="61" spans="2:5" x14ac:dyDescent="0.25">
      <c r="B61" s="273" t="s">
        <v>200</v>
      </c>
      <c r="C61" s="432">
        <f>ROW('E1G Flex'!$C$59)</f>
        <v>59</v>
      </c>
      <c r="D61" s="432"/>
      <c r="E61" s="432"/>
    </row>
    <row r="62" spans="2:5" x14ac:dyDescent="0.25">
      <c r="B62" s="273" t="s">
        <v>201</v>
      </c>
      <c r="C62" s="432">
        <f>ROW('E1G Flex'!$C$61)</f>
        <v>61</v>
      </c>
      <c r="D62" s="432"/>
      <c r="E62" s="432"/>
    </row>
    <row r="63" spans="2:5" x14ac:dyDescent="0.25">
      <c r="B63" s="273" t="s">
        <v>196</v>
      </c>
      <c r="C63" s="432">
        <f>ROW('E1G Flex'!$D$64)</f>
        <v>64</v>
      </c>
      <c r="D63" s="432"/>
      <c r="E63" s="432"/>
    </row>
    <row r="64" spans="2:5" x14ac:dyDescent="0.25">
      <c r="B64" s="273" t="s">
        <v>197</v>
      </c>
      <c r="C64" s="432">
        <f>ROW('E1G Flex'!$D$68)</f>
        <v>68</v>
      </c>
      <c r="D64" s="432"/>
      <c r="E64" s="432"/>
    </row>
    <row r="65" spans="2:5" x14ac:dyDescent="0.25">
      <c r="B65" s="273" t="s">
        <v>202</v>
      </c>
      <c r="C65" s="432">
        <f>ROW('E1G Flex'!$C$67)</f>
        <v>67</v>
      </c>
      <c r="D65" s="432"/>
      <c r="E65" s="432"/>
    </row>
    <row r="66" spans="2:5" x14ac:dyDescent="0.25">
      <c r="B66" s="273" t="s">
        <v>203</v>
      </c>
      <c r="C66" s="432">
        <f>ROW('E1G Flex'!$C$68)</f>
        <v>68</v>
      </c>
      <c r="D66" s="432"/>
      <c r="E66" s="432"/>
    </row>
    <row r="67" spans="2:5" x14ac:dyDescent="0.25">
      <c r="B67" s="273" t="s">
        <v>198</v>
      </c>
      <c r="C67" s="432">
        <f>ROW('E1G Flex'!$D$71)</f>
        <v>71</v>
      </c>
      <c r="D67" s="432"/>
      <c r="E67" s="432"/>
    </row>
    <row r="68" spans="2:5" x14ac:dyDescent="0.25">
      <c r="B68" s="273" t="s">
        <v>199</v>
      </c>
      <c r="C68" s="432">
        <f>ROW('E1G Flex'!$D$85)</f>
        <v>85</v>
      </c>
      <c r="D68" s="432"/>
      <c r="E68" s="432"/>
    </row>
    <row r="69" spans="2:5" x14ac:dyDescent="0.25">
      <c r="B69" s="435" t="s">
        <v>773</v>
      </c>
      <c r="C69" s="436">
        <f>ROW('E1G Flex'!$G$73)</f>
        <v>73</v>
      </c>
      <c r="D69" s="436"/>
      <c r="E69" s="436"/>
    </row>
    <row r="70" spans="2:5" x14ac:dyDescent="0.25">
      <c r="B70" s="273" t="s">
        <v>204</v>
      </c>
      <c r="C70" s="432" t="e">
        <f>ROW('E1G Flex'!#REF!)</f>
        <v>#REF!</v>
      </c>
      <c r="D70" s="432"/>
      <c r="E70" s="432"/>
    </row>
    <row r="71" spans="2:5" x14ac:dyDescent="0.25">
      <c r="B71" s="435" t="s">
        <v>771</v>
      </c>
      <c r="C71" s="436" t="e">
        <f>COLUMN('E1G Flex'!#REF!)</f>
        <v>#REF!</v>
      </c>
      <c r="D71" s="436"/>
      <c r="E71" s="436"/>
    </row>
    <row r="72" spans="2:5" x14ac:dyDescent="0.25">
      <c r="B72" s="435" t="s">
        <v>355</v>
      </c>
      <c r="C72" s="436">
        <f>ROW('E1G Flex'!$M$28)</f>
        <v>28</v>
      </c>
      <c r="D72" s="436"/>
      <c r="E72" s="436"/>
    </row>
  </sheetData>
  <pageMargins left="0.511811024" right="0.511811024" top="0.78740157499999996" bottom="0.78740157499999996" header="0.31496062000000002" footer="0.3149606200000000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Plan19">
    <tabColor rgb="FFC00000"/>
  </sheetPr>
  <dimension ref="A2:H101"/>
  <sheetViews>
    <sheetView showGridLines="0" zoomScale="115" zoomScaleNormal="115" workbookViewId="0">
      <selection activeCell="D3" sqref="D3:D21"/>
    </sheetView>
  </sheetViews>
  <sheetFormatPr defaultRowHeight="15" x14ac:dyDescent="0.25"/>
  <cols>
    <col min="1" max="1" width="11.28515625" customWidth="1"/>
    <col min="2" max="2" width="36.85546875" customWidth="1"/>
    <col min="3" max="3" width="10.7109375" customWidth="1"/>
    <col min="4" max="4" width="36.85546875" customWidth="1"/>
    <col min="6" max="6" width="11" bestFit="1" customWidth="1"/>
  </cols>
  <sheetData>
    <row r="2" spans="1:5" ht="15.75" thickBot="1" x14ac:dyDescent="0.3">
      <c r="B2" s="528" t="s">
        <v>819</v>
      </c>
      <c r="D2" s="528" t="s">
        <v>824</v>
      </c>
    </row>
    <row r="3" spans="1:5" x14ac:dyDescent="0.25">
      <c r="B3" s="529" t="s">
        <v>158</v>
      </c>
      <c r="D3" s="529" t="s">
        <v>733</v>
      </c>
    </row>
    <row r="4" spans="1:5" ht="15.75" thickBot="1" x14ac:dyDescent="0.3">
      <c r="B4" s="530" t="s">
        <v>157</v>
      </c>
      <c r="D4" s="531" t="s">
        <v>870</v>
      </c>
    </row>
    <row r="5" spans="1:5" x14ac:dyDescent="0.25">
      <c r="D5" s="531" t="s">
        <v>880</v>
      </c>
    </row>
    <row r="6" spans="1:5" ht="15.75" thickBot="1" x14ac:dyDescent="0.3">
      <c r="B6" s="528" t="s">
        <v>820</v>
      </c>
      <c r="D6" s="531" t="s">
        <v>867</v>
      </c>
    </row>
    <row r="7" spans="1:5" x14ac:dyDescent="0.25">
      <c r="B7" s="529" t="s">
        <v>821</v>
      </c>
      <c r="D7" s="531" t="s">
        <v>877</v>
      </c>
    </row>
    <row r="8" spans="1:5" x14ac:dyDescent="0.25">
      <c r="B8" s="531" t="s">
        <v>248</v>
      </c>
      <c r="D8" s="531" t="s">
        <v>875</v>
      </c>
      <c r="E8" t="s">
        <v>873</v>
      </c>
    </row>
    <row r="9" spans="1:5" ht="15.75" thickBot="1" x14ac:dyDescent="0.3">
      <c r="B9" s="530" t="s">
        <v>249</v>
      </c>
      <c r="D9" s="531" t="s">
        <v>872</v>
      </c>
      <c r="E9" t="s">
        <v>873</v>
      </c>
    </row>
    <row r="10" spans="1:5" x14ac:dyDescent="0.25">
      <c r="D10" s="531" t="s">
        <v>881</v>
      </c>
    </row>
    <row r="11" spans="1:5" ht="15.75" thickBot="1" x14ac:dyDescent="0.3">
      <c r="B11" s="528" t="s">
        <v>822</v>
      </c>
      <c r="D11" s="531" t="s">
        <v>882</v>
      </c>
      <c r="E11" t="s">
        <v>873</v>
      </c>
    </row>
    <row r="12" spans="1:5" x14ac:dyDescent="0.25">
      <c r="B12" s="529" t="s">
        <v>127</v>
      </c>
      <c r="D12" s="531" t="s">
        <v>590</v>
      </c>
    </row>
    <row r="13" spans="1:5" x14ac:dyDescent="0.25">
      <c r="A13" s="16"/>
      <c r="B13" s="531" t="s">
        <v>128</v>
      </c>
      <c r="D13" s="531" t="s">
        <v>699</v>
      </c>
    </row>
    <row r="14" spans="1:5" ht="15.75" thickBot="1" x14ac:dyDescent="0.3">
      <c r="A14" s="16"/>
      <c r="B14" s="530" t="s">
        <v>129</v>
      </c>
      <c r="D14" s="531" t="s">
        <v>690</v>
      </c>
      <c r="E14" t="s">
        <v>873</v>
      </c>
    </row>
    <row r="15" spans="1:5" x14ac:dyDescent="0.25">
      <c r="A15" s="17"/>
      <c r="D15" s="531" t="s">
        <v>868</v>
      </c>
    </row>
    <row r="16" spans="1:5" ht="15.75" thickBot="1" x14ac:dyDescent="0.3">
      <c r="B16" s="528" t="s">
        <v>124</v>
      </c>
      <c r="D16" s="531" t="s">
        <v>876</v>
      </c>
      <c r="E16" t="s">
        <v>873</v>
      </c>
    </row>
    <row r="17" spans="2:5" x14ac:dyDescent="0.25">
      <c r="B17" s="532" t="s">
        <v>125</v>
      </c>
      <c r="D17" s="531" t="s">
        <v>878</v>
      </c>
      <c r="E17" t="s">
        <v>873</v>
      </c>
    </row>
    <row r="18" spans="2:5" ht="15.75" thickBot="1" x14ac:dyDescent="0.3">
      <c r="B18" s="530" t="s">
        <v>126</v>
      </c>
      <c r="D18" s="531" t="s">
        <v>879</v>
      </c>
      <c r="E18" t="s">
        <v>873</v>
      </c>
    </row>
    <row r="19" spans="2:5" x14ac:dyDescent="0.25">
      <c r="D19" s="531" t="s">
        <v>874</v>
      </c>
    </row>
    <row r="20" spans="2:5" ht="15.75" thickBot="1" x14ac:dyDescent="0.3">
      <c r="B20" s="528" t="s">
        <v>823</v>
      </c>
      <c r="D20" s="531" t="s">
        <v>869</v>
      </c>
    </row>
    <row r="21" spans="2:5" ht="15.75" thickBot="1" x14ac:dyDescent="0.3">
      <c r="B21" s="529" t="s">
        <v>165</v>
      </c>
      <c r="D21" s="530" t="s">
        <v>871</v>
      </c>
      <c r="E21" t="s">
        <v>873</v>
      </c>
    </row>
    <row r="22" spans="2:5" ht="15.75" thickBot="1" x14ac:dyDescent="0.3">
      <c r="B22" s="530" t="s">
        <v>166</v>
      </c>
    </row>
    <row r="24" spans="2:5" ht="15.75" thickBot="1" x14ac:dyDescent="0.3">
      <c r="B24" s="528" t="s">
        <v>857</v>
      </c>
    </row>
    <row r="25" spans="2:5" x14ac:dyDescent="0.25">
      <c r="B25" s="529" t="s">
        <v>335</v>
      </c>
    </row>
    <row r="26" spans="2:5" x14ac:dyDescent="0.25">
      <c r="B26" s="531" t="s">
        <v>958</v>
      </c>
    </row>
    <row r="27" spans="2:5" ht="15.75" thickBot="1" x14ac:dyDescent="0.3">
      <c r="B27" s="530" t="s">
        <v>959</v>
      </c>
    </row>
    <row r="85" spans="3:8" x14ac:dyDescent="0.25">
      <c r="D85" t="s">
        <v>144</v>
      </c>
    </row>
    <row r="87" spans="3:8" x14ac:dyDescent="0.25">
      <c r="D87" t="s">
        <v>139</v>
      </c>
      <c r="E87" s="13">
        <f>0.00000231</f>
        <v>2.3099999999999999E-6</v>
      </c>
      <c r="F87" s="13">
        <f>E87*298</f>
        <v>6.8837999999999994E-4</v>
      </c>
    </row>
    <row r="88" spans="3:8" x14ac:dyDescent="0.25">
      <c r="D88" t="s">
        <v>140</v>
      </c>
      <c r="E88" s="13">
        <f>0.00000308</f>
        <v>3.0800000000000002E-6</v>
      </c>
      <c r="F88" s="13">
        <f>E88*36</f>
        <v>1.1088000000000001E-4</v>
      </c>
    </row>
    <row r="89" spans="3:8" x14ac:dyDescent="0.25">
      <c r="D89" t="s">
        <v>141</v>
      </c>
      <c r="E89" s="13">
        <v>6.6000000000000003E-2</v>
      </c>
      <c r="F89" s="13">
        <f>E89</f>
        <v>6.6000000000000003E-2</v>
      </c>
    </row>
    <row r="90" spans="3:8" x14ac:dyDescent="0.25">
      <c r="F90" s="20">
        <f>SUM(F87:F89)*1000</f>
        <v>66.799260000000004</v>
      </c>
      <c r="G90" t="s">
        <v>142</v>
      </c>
      <c r="H90" t="s">
        <v>143</v>
      </c>
    </row>
    <row r="92" spans="3:8" x14ac:dyDescent="0.25">
      <c r="C92" t="s">
        <v>145</v>
      </c>
      <c r="D92" s="13">
        <v>8.2600000000000007E-2</v>
      </c>
    </row>
    <row r="93" spans="3:8" x14ac:dyDescent="0.25">
      <c r="D93" s="20">
        <f>D92*1000</f>
        <v>82.600000000000009</v>
      </c>
      <c r="E93" t="s">
        <v>142</v>
      </c>
    </row>
    <row r="95" spans="3:8" x14ac:dyDescent="0.25">
      <c r="C95" t="s">
        <v>146</v>
      </c>
      <c r="D95" t="s">
        <v>147</v>
      </c>
    </row>
    <row r="96" spans="3:8" x14ac:dyDescent="0.25">
      <c r="C96" t="s">
        <v>148</v>
      </c>
    </row>
    <row r="98" spans="3:4" x14ac:dyDescent="0.25">
      <c r="C98">
        <v>3.5139999999999998</v>
      </c>
      <c r="D98" t="s">
        <v>149</v>
      </c>
    </row>
    <row r="99" spans="3:4" x14ac:dyDescent="0.25">
      <c r="C99">
        <f>C98*10^6</f>
        <v>3514000</v>
      </c>
      <c r="D99" t="s">
        <v>150</v>
      </c>
    </row>
    <row r="100" spans="3:4" x14ac:dyDescent="0.25">
      <c r="C100">
        <f>C99/1000</f>
        <v>3514</v>
      </c>
      <c r="D100" t="s">
        <v>151</v>
      </c>
    </row>
    <row r="101" spans="3:4" x14ac:dyDescent="0.25">
      <c r="C101" t="e">
        <f>C100/#REF!</f>
        <v>#REF!</v>
      </c>
      <c r="D101" t="s">
        <v>152</v>
      </c>
    </row>
  </sheetData>
  <sortState xmlns:xlrd2="http://schemas.microsoft.com/office/spreadsheetml/2017/richdata2" ref="D4:D21">
    <sortCondition ref="D21"/>
  </sortState>
  <pageMargins left="0.511811024" right="0.511811024" top="0.78740157499999996" bottom="0.78740157499999996" header="0.31496062000000002" footer="0.31496062000000002"/>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J6:N21"/>
  <sheetViews>
    <sheetView topLeftCell="E1" workbookViewId="0">
      <selection activeCell="L10" sqref="L10"/>
    </sheetView>
  </sheetViews>
  <sheetFormatPr defaultRowHeight="15" x14ac:dyDescent="0.25"/>
  <cols>
    <col min="10" max="10" width="20" bestFit="1" customWidth="1"/>
    <col min="11" max="11" width="14.7109375" bestFit="1" customWidth="1"/>
    <col min="12" max="12" width="18.5703125" bestFit="1" customWidth="1"/>
    <col min="13" max="13" width="14.7109375" bestFit="1" customWidth="1"/>
    <col min="14" max="14" width="12.42578125" bestFit="1" customWidth="1"/>
  </cols>
  <sheetData>
    <row r="6" spans="10:14" ht="15.75" thickBot="1" x14ac:dyDescent="0.3"/>
    <row r="7" spans="10:14" x14ac:dyDescent="0.25">
      <c r="K7" s="700" t="s">
        <v>1035</v>
      </c>
      <c r="L7" s="706"/>
      <c r="M7" s="700" t="s">
        <v>1035</v>
      </c>
      <c r="N7" s="701"/>
    </row>
    <row r="8" spans="10:14" x14ac:dyDescent="0.25">
      <c r="K8" s="702">
        <v>24010</v>
      </c>
      <c r="L8" s="707" t="s">
        <v>1029</v>
      </c>
      <c r="M8" s="702">
        <f>K8*K14</f>
        <v>48020000000</v>
      </c>
      <c r="N8" s="703" t="s">
        <v>1031</v>
      </c>
    </row>
    <row r="9" spans="10:14" x14ac:dyDescent="0.25">
      <c r="K9" s="702">
        <v>129960</v>
      </c>
      <c r="L9" s="707" t="s">
        <v>1030</v>
      </c>
      <c r="M9" s="702">
        <f>K9*K13</f>
        <v>7797600000</v>
      </c>
      <c r="N9" s="703" t="s">
        <v>1031</v>
      </c>
    </row>
    <row r="10" spans="10:14" ht="15.75" thickBot="1" x14ac:dyDescent="0.3">
      <c r="K10" s="704"/>
      <c r="L10" s="708" t="s">
        <v>1032</v>
      </c>
      <c r="M10" s="709">
        <f>SUM(M8:M9)</f>
        <v>55817600000</v>
      </c>
      <c r="N10" s="705" t="s">
        <v>1033</v>
      </c>
    </row>
    <row r="13" spans="10:14" x14ac:dyDescent="0.25">
      <c r="J13" t="s">
        <v>1037</v>
      </c>
      <c r="K13">
        <v>60000</v>
      </c>
      <c r="L13" t="s">
        <v>603</v>
      </c>
    </row>
    <row r="14" spans="10:14" x14ac:dyDescent="0.25">
      <c r="J14" t="s">
        <v>1038</v>
      </c>
      <c r="K14">
        <v>2000000</v>
      </c>
      <c r="L14" t="s">
        <v>353</v>
      </c>
    </row>
    <row r="15" spans="10:14" x14ac:dyDescent="0.25">
      <c r="J15" t="s">
        <v>1039</v>
      </c>
      <c r="K15">
        <v>92000000</v>
      </c>
      <c r="L15" t="s">
        <v>1036</v>
      </c>
    </row>
    <row r="16" spans="10:14" x14ac:dyDescent="0.25">
      <c r="J16" t="s">
        <v>1040</v>
      </c>
      <c r="K16">
        <v>28.26</v>
      </c>
      <c r="L16" t="s">
        <v>490</v>
      </c>
    </row>
    <row r="17" spans="10:12" x14ac:dyDescent="0.25">
      <c r="J17" t="s">
        <v>1041</v>
      </c>
      <c r="K17">
        <v>0.79100000000000004</v>
      </c>
      <c r="L17" t="s">
        <v>487</v>
      </c>
    </row>
    <row r="18" spans="10:12" x14ac:dyDescent="0.25">
      <c r="J18" t="s">
        <v>45</v>
      </c>
      <c r="K18">
        <f>K15*K17</f>
        <v>72772000</v>
      </c>
      <c r="L18" t="s">
        <v>757</v>
      </c>
    </row>
    <row r="19" spans="10:12" x14ac:dyDescent="0.25">
      <c r="K19">
        <f>K18*K16</f>
        <v>2056536720</v>
      </c>
      <c r="L19" t="s">
        <v>1028</v>
      </c>
    </row>
    <row r="20" spans="10:12" x14ac:dyDescent="0.25">
      <c r="J20" t="s">
        <v>1042</v>
      </c>
      <c r="K20">
        <f>M8/K19*46.3%</f>
        <v>10.811020189321004</v>
      </c>
      <c r="L20" t="s">
        <v>1034</v>
      </c>
    </row>
    <row r="21" spans="10:12" x14ac:dyDescent="0.25">
      <c r="J21" t="s">
        <v>1043</v>
      </c>
      <c r="K21">
        <f>M9/K19*46.3%</f>
        <v>1.7555187636036955</v>
      </c>
      <c r="L21" t="s">
        <v>1034</v>
      </c>
    </row>
  </sheetData>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11">
    <tabColor theme="0" tint="-0.34998626667073579"/>
  </sheetPr>
  <dimension ref="B1:S28"/>
  <sheetViews>
    <sheetView showGridLines="0" workbookViewId="0">
      <pane ySplit="2" topLeftCell="A3" activePane="bottomLeft" state="frozen"/>
      <selection activeCell="J1" sqref="J1"/>
      <selection pane="bottomLeft" activeCell="P17" sqref="P17"/>
    </sheetView>
  </sheetViews>
  <sheetFormatPr defaultColWidth="9.140625" defaultRowHeight="15" x14ac:dyDescent="0.25"/>
  <cols>
    <col min="1" max="1" width="5.7109375" style="1" customWidth="1"/>
    <col min="2" max="3" width="9.140625" style="1" customWidth="1"/>
    <col min="4" max="6" width="9.140625" style="1"/>
    <col min="7" max="7" width="9.140625" style="1" customWidth="1"/>
    <col min="8" max="13" width="9.140625" style="1"/>
    <col min="14" max="15" width="9.140625" style="1" customWidth="1"/>
    <col min="16" max="16384" width="9.140625" style="1"/>
  </cols>
  <sheetData>
    <row r="1" spans="2:19" ht="90" customHeight="1" x14ac:dyDescent="0.25">
      <c r="B1" s="439" t="s">
        <v>101</v>
      </c>
      <c r="C1" s="439"/>
      <c r="D1" s="439"/>
      <c r="E1" s="439"/>
      <c r="F1" s="439"/>
      <c r="G1" s="439"/>
      <c r="H1" s="439"/>
      <c r="I1" s="439"/>
      <c r="J1" s="439"/>
      <c r="K1" s="439"/>
      <c r="L1" s="439"/>
      <c r="M1" s="439"/>
      <c r="N1" s="439"/>
      <c r="O1" s="439"/>
      <c r="P1" s="439"/>
      <c r="Q1" s="439"/>
      <c r="R1" s="439"/>
      <c r="S1" s="439"/>
    </row>
    <row r="2" spans="2:19" s="23" customFormat="1" ht="27.75" customHeight="1" x14ac:dyDescent="0.25">
      <c r="B2" s="21" t="s">
        <v>782</v>
      </c>
      <c r="C2" s="22"/>
    </row>
    <row r="3" spans="2:19" x14ac:dyDescent="0.25">
      <c r="B3" s="458" t="s">
        <v>105</v>
      </c>
    </row>
    <row r="4" spans="2:19" ht="18.75" x14ac:dyDescent="0.25">
      <c r="B4" s="459"/>
      <c r="E4" s="458" t="s">
        <v>105</v>
      </c>
    </row>
    <row r="5" spans="2:19" ht="18.75" x14ac:dyDescent="0.25">
      <c r="C5" s="459"/>
      <c r="D5" s="574"/>
      <c r="E5" s="460"/>
      <c r="G5" s="575"/>
      <c r="H5" s="576"/>
    </row>
    <row r="6" spans="2:19" ht="18.75" x14ac:dyDescent="0.25">
      <c r="C6" s="577"/>
      <c r="D6" s="574"/>
    </row>
    <row r="7" spans="2:19" ht="18.75" x14ac:dyDescent="0.25">
      <c r="C7" s="461"/>
      <c r="D7" s="574"/>
      <c r="E7" s="460"/>
      <c r="G7" s="575"/>
      <c r="H7" s="576"/>
    </row>
    <row r="8" spans="2:19" ht="18.75" x14ac:dyDescent="0.25">
      <c r="C8" s="577"/>
      <c r="D8" s="574"/>
    </row>
    <row r="9" spans="2:19" ht="18.75" x14ac:dyDescent="0.25">
      <c r="C9" s="461"/>
      <c r="D9" s="574"/>
      <c r="E9" s="460"/>
      <c r="G9" s="578"/>
      <c r="H9" s="576"/>
    </row>
    <row r="10" spans="2:19" ht="18.75" x14ac:dyDescent="0.25">
      <c r="C10" s="577"/>
      <c r="D10" s="574"/>
      <c r="H10" s="579"/>
    </row>
    <row r="11" spans="2:19" ht="18.75" x14ac:dyDescent="0.25">
      <c r="C11" s="461"/>
      <c r="D11" s="574"/>
      <c r="E11" s="460"/>
      <c r="G11" s="575"/>
      <c r="H11" s="576"/>
    </row>
    <row r="12" spans="2:19" ht="18.75" x14ac:dyDescent="0.25">
      <c r="C12" s="461"/>
      <c r="D12" s="574"/>
      <c r="E12" s="460"/>
      <c r="G12" s="575"/>
      <c r="H12" s="576"/>
    </row>
    <row r="13" spans="2:19" ht="18.75" x14ac:dyDescent="0.25">
      <c r="C13" s="461"/>
      <c r="D13" s="574"/>
      <c r="E13" s="460"/>
      <c r="G13" s="575"/>
      <c r="H13" s="576"/>
    </row>
    <row r="14" spans="2:19" ht="18.75" x14ac:dyDescent="0.25">
      <c r="C14" s="461"/>
      <c r="D14" s="574"/>
      <c r="E14" s="460"/>
      <c r="G14" s="575"/>
      <c r="H14" s="576"/>
    </row>
    <row r="15" spans="2:19" ht="18.75" x14ac:dyDescent="0.25">
      <c r="C15" s="461"/>
      <c r="D15" s="574"/>
      <c r="E15" s="460"/>
      <c r="G15" s="575"/>
      <c r="H15" s="576"/>
    </row>
    <row r="16" spans="2:19" ht="18.75" x14ac:dyDescent="0.25">
      <c r="C16" s="461"/>
      <c r="D16" s="574"/>
      <c r="E16" s="460"/>
      <c r="G16" s="575"/>
      <c r="H16" s="576"/>
    </row>
    <row r="17" spans="3:8" ht="18.75" x14ac:dyDescent="0.25">
      <c r="C17" s="461"/>
      <c r="D17" s="574"/>
      <c r="E17" s="460"/>
      <c r="G17" s="575"/>
      <c r="H17" s="576"/>
    </row>
    <row r="18" spans="3:8" ht="18.75" x14ac:dyDescent="0.25">
      <c r="C18" s="577"/>
      <c r="D18" s="574"/>
    </row>
    <row r="19" spans="3:8" ht="18.75" x14ac:dyDescent="0.25">
      <c r="C19" s="461"/>
      <c r="D19" s="462"/>
      <c r="G19" s="575"/>
      <c r="H19" s="576"/>
    </row>
    <row r="20" spans="3:8" ht="18.75" x14ac:dyDescent="0.25">
      <c r="C20" s="577"/>
      <c r="D20" s="574"/>
    </row>
    <row r="21" spans="3:8" ht="18.75" x14ac:dyDescent="0.25">
      <c r="C21" s="461"/>
      <c r="D21" s="462"/>
      <c r="G21" s="575"/>
      <c r="H21" s="576"/>
    </row>
    <row r="22" spans="3:8" ht="18.75" x14ac:dyDescent="0.25">
      <c r="C22" s="577"/>
      <c r="D22" s="574"/>
    </row>
    <row r="23" spans="3:8" ht="18.75" x14ac:dyDescent="0.25">
      <c r="C23" s="461"/>
      <c r="D23" s="462"/>
      <c r="E23" s="460"/>
    </row>
    <row r="26" spans="3:8" x14ac:dyDescent="0.25">
      <c r="D26" s="460"/>
    </row>
    <row r="28" spans="3:8" x14ac:dyDescent="0.25">
      <c r="D28" s="460"/>
    </row>
  </sheetData>
  <sheetProtection sheet="1" objects="1" scenarios="1" selectLockedCells="1"/>
  <pageMargins left="0.511811024" right="0.511811024" top="0.78740157499999996" bottom="0.78740157499999996" header="0.31496062000000002" footer="0.3149606200000000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1">
    <tabColor rgb="FF4B9FD7"/>
  </sheetPr>
  <dimension ref="A1:AT357"/>
  <sheetViews>
    <sheetView showGridLines="0" tabSelected="1" zoomScaleNormal="100" workbookViewId="0">
      <pane ySplit="2" topLeftCell="A10" activePane="bottomLeft" state="frozen"/>
      <selection activeCell="K27" sqref="K27"/>
      <selection pane="bottomLeft" activeCell="D137" sqref="D137"/>
    </sheetView>
  </sheetViews>
  <sheetFormatPr defaultColWidth="9.140625" defaultRowHeight="15" outlineLevelRow="1" x14ac:dyDescent="0.25"/>
  <cols>
    <col min="1" max="1" width="5.7109375" style="85" customWidth="1"/>
    <col min="2" max="2" width="35.7109375" style="85" customWidth="1"/>
    <col min="3" max="3" width="20.7109375" style="85" customWidth="1"/>
    <col min="4" max="4" width="15.7109375" style="88" customWidth="1"/>
    <col min="5" max="5" width="16.7109375" style="85" customWidth="1"/>
    <col min="6" max="6" width="20.7109375" style="85" customWidth="1"/>
    <col min="7" max="7" width="15.28515625" style="85" customWidth="1"/>
    <col min="8" max="8" width="9.7109375" style="85" customWidth="1"/>
    <col min="9" max="10" width="8.7109375" style="85" customWidth="1"/>
    <col min="11" max="11" width="35.7109375" style="85" hidden="1" customWidth="1"/>
    <col min="12" max="12" width="20.7109375" style="85" hidden="1" customWidth="1"/>
    <col min="13" max="13" width="15.7109375" style="85" hidden="1" customWidth="1"/>
    <col min="14" max="14" width="16.7109375" style="85" hidden="1" customWidth="1"/>
    <col min="15" max="15" width="20.7109375" style="85" hidden="1" customWidth="1"/>
    <col min="16" max="16" width="11.5703125" style="85" hidden="1" customWidth="1"/>
    <col min="17" max="17" width="9.7109375" style="85" hidden="1" customWidth="1"/>
    <col min="18" max="19" width="8.7109375" style="85" hidden="1" customWidth="1"/>
    <col min="20" max="20" width="35.7109375" style="85" hidden="1" customWidth="1"/>
    <col min="21" max="21" width="20.7109375" style="85" hidden="1" customWidth="1"/>
    <col min="22" max="22" width="15.7109375" style="85" hidden="1" customWidth="1"/>
    <col min="23" max="23" width="16.7109375" style="85" hidden="1" customWidth="1"/>
    <col min="24" max="24" width="20.7109375" style="85" hidden="1" customWidth="1"/>
    <col min="25" max="25" width="8.7109375" style="85" hidden="1" customWidth="1"/>
    <col min="26" max="26" width="9.7109375" style="85" hidden="1" customWidth="1"/>
    <col min="27" max="30" width="8.7109375" style="85" hidden="1" customWidth="1"/>
    <col min="31" max="31" width="35.7109375" style="85" hidden="1" customWidth="1"/>
    <col min="32" max="32" width="20.7109375" style="85" hidden="1" customWidth="1"/>
    <col min="33" max="33" width="15.7109375" style="85" hidden="1" customWidth="1"/>
    <col min="34" max="34" width="16.7109375" style="85" hidden="1" customWidth="1"/>
    <col min="35" max="35" width="20.7109375" style="85" hidden="1" customWidth="1"/>
    <col min="36" max="36" width="8.7109375" style="85" hidden="1" customWidth="1"/>
    <col min="37" max="37" width="9.7109375" style="85" hidden="1" customWidth="1"/>
    <col min="38" max="39" width="9.140625" style="85" hidden="1" customWidth="1"/>
    <col min="40" max="40" width="35.7109375" style="85" hidden="1" customWidth="1"/>
    <col min="41" max="41" width="20.7109375" style="85" hidden="1" customWidth="1"/>
    <col min="42" max="42" width="15.7109375" style="85" hidden="1" customWidth="1"/>
    <col min="43" max="43" width="16.7109375" style="85" hidden="1" customWidth="1"/>
    <col min="44" max="44" width="20.7109375" style="85" hidden="1" customWidth="1"/>
    <col min="45" max="45" width="8.7109375" style="85" hidden="1" customWidth="1"/>
    <col min="46" max="46" width="9.7109375" style="85" hidden="1" customWidth="1"/>
    <col min="47" max="48" width="0" style="85" hidden="1" customWidth="1"/>
    <col min="49" max="16384" width="9.140625" style="85"/>
  </cols>
  <sheetData>
    <row r="1" spans="1:20" ht="90" customHeight="1" x14ac:dyDescent="0.25">
      <c r="A1" s="108"/>
      <c r="B1" s="120"/>
      <c r="C1" s="120"/>
      <c r="D1" s="120"/>
      <c r="E1" s="120"/>
      <c r="F1" s="120"/>
      <c r="G1" s="120"/>
      <c r="H1" s="120"/>
      <c r="I1" s="120"/>
      <c r="J1" s="120"/>
      <c r="K1" s="120"/>
      <c r="L1" s="120"/>
      <c r="M1" s="120"/>
      <c r="N1" s="120"/>
      <c r="O1" s="120"/>
      <c r="P1" s="120"/>
      <c r="Q1" s="120"/>
      <c r="R1" s="120"/>
      <c r="S1" s="120"/>
      <c r="T1" s="120"/>
    </row>
    <row r="2" spans="1:20" s="52" customFormat="1" ht="25.15" customHeight="1" x14ac:dyDescent="0.25">
      <c r="B2" s="52" t="s">
        <v>952</v>
      </c>
    </row>
    <row r="3" spans="1:20" s="108" customFormat="1" x14ac:dyDescent="0.25">
      <c r="C3" s="103"/>
    </row>
    <row r="4" spans="1:20" ht="15.75" x14ac:dyDescent="0.25">
      <c r="B4" s="181" t="s">
        <v>950</v>
      </c>
      <c r="C4" s="726" t="s">
        <v>1050</v>
      </c>
      <c r="D4" s="727"/>
      <c r="E4" s="727"/>
      <c r="F4" s="727"/>
      <c r="G4" s="727"/>
      <c r="H4" s="728"/>
      <c r="I4" s="108"/>
      <c r="J4" s="108"/>
      <c r="R4" s="108"/>
      <c r="S4" s="108"/>
    </row>
    <row r="5" spans="1:20" ht="6" customHeight="1" x14ac:dyDescent="0.25">
      <c r="B5" s="182"/>
      <c r="C5" s="114"/>
      <c r="D5" s="114"/>
      <c r="E5" s="114"/>
      <c r="F5" s="114"/>
      <c r="G5" s="114"/>
      <c r="H5" s="114"/>
      <c r="I5" s="108"/>
      <c r="J5" s="108"/>
      <c r="R5" s="108"/>
      <c r="S5" s="108"/>
    </row>
    <row r="6" spans="1:20" ht="15.75" x14ac:dyDescent="0.25">
      <c r="B6" s="181" t="s">
        <v>342</v>
      </c>
      <c r="C6" s="726" t="s">
        <v>1051</v>
      </c>
      <c r="D6" s="727"/>
      <c r="E6" s="727"/>
      <c r="F6" s="727"/>
      <c r="G6" s="727"/>
      <c r="H6" s="728"/>
      <c r="I6" s="108"/>
      <c r="J6" s="108"/>
      <c r="R6" s="108"/>
      <c r="S6" s="108"/>
    </row>
    <row r="7" spans="1:20" ht="6" customHeight="1" x14ac:dyDescent="0.25">
      <c r="B7" s="181"/>
      <c r="C7" s="114"/>
      <c r="D7" s="114"/>
      <c r="E7" s="114"/>
      <c r="F7" s="114"/>
      <c r="G7" s="114"/>
      <c r="H7" s="114"/>
      <c r="I7" s="108"/>
      <c r="J7" s="108"/>
      <c r="R7" s="108"/>
      <c r="S7" s="108"/>
    </row>
    <row r="8" spans="1:20" ht="15.75" x14ac:dyDescent="0.25">
      <c r="B8" s="181" t="s">
        <v>239</v>
      </c>
      <c r="C8" s="726" t="s">
        <v>1052</v>
      </c>
      <c r="D8" s="727"/>
      <c r="E8" s="727"/>
      <c r="F8" s="727"/>
      <c r="G8" s="727"/>
      <c r="H8" s="728"/>
      <c r="I8" s="108"/>
      <c r="J8" s="108"/>
      <c r="R8" s="108"/>
      <c r="S8" s="108"/>
    </row>
    <row r="9" spans="1:20" ht="6" customHeight="1" x14ac:dyDescent="0.25">
      <c r="B9" s="182"/>
      <c r="C9" s="114"/>
      <c r="D9" s="114"/>
      <c r="E9" s="115"/>
      <c r="F9" s="115"/>
      <c r="G9" s="115"/>
      <c r="H9" s="115"/>
      <c r="I9" s="108"/>
      <c r="J9" s="108"/>
      <c r="R9" s="108"/>
      <c r="S9" s="108"/>
    </row>
    <row r="10" spans="1:20" ht="15.75" x14ac:dyDescent="0.25">
      <c r="B10" s="181" t="s">
        <v>240</v>
      </c>
      <c r="C10" s="726" t="s">
        <v>1053</v>
      </c>
      <c r="D10" s="728"/>
      <c r="E10" s="116"/>
      <c r="F10" s="108"/>
      <c r="G10" s="108"/>
      <c r="H10" s="108"/>
      <c r="I10" s="108"/>
      <c r="J10" s="108"/>
      <c r="R10" s="108"/>
      <c r="S10" s="108"/>
    </row>
    <row r="11" spans="1:20" s="108" customFormat="1" ht="15.75" x14ac:dyDescent="0.25">
      <c r="C11" s="112"/>
      <c r="L11" s="113"/>
    </row>
    <row r="12" spans="1:20" ht="6" customHeight="1" x14ac:dyDescent="0.25">
      <c r="B12" s="151"/>
      <c r="C12" s="99"/>
      <c r="D12" s="99"/>
      <c r="E12" s="99"/>
      <c r="F12" s="99"/>
      <c r="G12" s="84"/>
      <c r="H12" s="84"/>
      <c r="I12" s="108"/>
      <c r="Q12" s="108"/>
      <c r="R12" s="108"/>
    </row>
    <row r="13" spans="1:20" ht="17.25" x14ac:dyDescent="0.25">
      <c r="B13" s="43"/>
      <c r="C13" s="729" t="s">
        <v>126</v>
      </c>
      <c r="D13" s="729"/>
      <c r="E13" s="84"/>
      <c r="F13" s="84"/>
      <c r="G13" s="84"/>
      <c r="H13" s="84"/>
      <c r="I13" s="150"/>
      <c r="Q13" s="108"/>
      <c r="R13" s="150"/>
    </row>
    <row r="14" spans="1:20" ht="6" customHeight="1" x14ac:dyDescent="0.25">
      <c r="B14" s="43"/>
      <c r="C14" s="82"/>
      <c r="D14" s="82"/>
      <c r="E14" s="84"/>
      <c r="F14" s="33"/>
      <c r="G14" s="84"/>
      <c r="H14" s="84"/>
      <c r="I14" s="150"/>
      <c r="Q14" s="108"/>
      <c r="R14" s="150"/>
    </row>
    <row r="15" spans="1:20" ht="31.5" x14ac:dyDescent="0.25">
      <c r="B15" s="648" t="s">
        <v>829</v>
      </c>
      <c r="C15" s="155">
        <f>SUM(C17:C20)</f>
        <v>25.722387950913319</v>
      </c>
      <c r="D15" s="736" t="s">
        <v>828</v>
      </c>
      <c r="E15" s="736"/>
      <c r="F15" s="736"/>
      <c r="G15" s="155">
        <f>G18-C15</f>
        <v>61.67761204908669</v>
      </c>
      <c r="H15" s="84"/>
      <c r="I15" s="150"/>
      <c r="Q15" s="108"/>
      <c r="R15" s="150"/>
    </row>
    <row r="16" spans="1:20" ht="6" customHeight="1" x14ac:dyDescent="0.25">
      <c r="B16" s="152"/>
      <c r="C16" s="82"/>
      <c r="D16" s="83"/>
      <c r="E16" s="84"/>
      <c r="F16" s="40"/>
      <c r="G16" s="84"/>
      <c r="H16" s="84"/>
      <c r="I16" s="108"/>
      <c r="Q16" s="108"/>
      <c r="R16" s="108"/>
    </row>
    <row r="17" spans="2:46" ht="15.75" x14ac:dyDescent="0.25">
      <c r="B17" s="385" t="s">
        <v>159</v>
      </c>
      <c r="C17" s="142">
        <f>IFERROR((IF(C13="Etanol Anidro",_E1GC!C5,IF(C13="Etanol Hidratado",_E1GC!E5,""))),0)</f>
        <v>21.763581185045219</v>
      </c>
      <c r="D17" s="83"/>
      <c r="E17" s="84"/>
      <c r="F17" s="153"/>
      <c r="G17" s="153" t="s">
        <v>865</v>
      </c>
      <c r="H17" s="84"/>
      <c r="I17" s="108"/>
      <c r="Q17" s="108"/>
      <c r="R17" s="108"/>
    </row>
    <row r="18" spans="2:46" ht="17.25" x14ac:dyDescent="0.25">
      <c r="B18" s="385" t="s">
        <v>160</v>
      </c>
      <c r="C18" s="142">
        <f>IFERROR(IF(C13="Etanol Anidro",_E1GC!C6,IF(C13="Etanol Hidratado",_E1GC!E6,"")),0)</f>
        <v>1.3693724368607576</v>
      </c>
      <c r="D18" s="83"/>
      <c r="E18" s="84"/>
      <c r="F18" s="153"/>
      <c r="G18" s="580">
        <f>'Dados auxiliares'!F166</f>
        <v>87.4</v>
      </c>
      <c r="H18" s="84"/>
      <c r="I18" s="108"/>
      <c r="Q18" s="108"/>
      <c r="R18" s="108"/>
    </row>
    <row r="19" spans="2:46" ht="15.75" x14ac:dyDescent="0.25">
      <c r="B19" s="385" t="s">
        <v>161</v>
      </c>
      <c r="C19" s="142">
        <f>IFERROR(IF(C13="Etanol Anidro",_E1GC!C7,IF(C13="Etanol Hidratado",_E1GC!E7,"")),0)</f>
        <v>1.926434329007344</v>
      </c>
      <c r="D19" s="83"/>
      <c r="E19" s="84"/>
      <c r="F19" s="153"/>
      <c r="G19" s="153" t="s">
        <v>539</v>
      </c>
      <c r="H19" s="84"/>
      <c r="I19" s="108"/>
      <c r="Q19" s="108"/>
      <c r="R19" s="108"/>
    </row>
    <row r="20" spans="2:46" ht="17.25" x14ac:dyDescent="0.25">
      <c r="B20" s="385" t="s">
        <v>189</v>
      </c>
      <c r="C20" s="142">
        <f>IFERROR(IF(C13="Etanol Anidro",_E1GC!C8,IF(C13="Etanol Hidratado",_E1GC!E8,"")),0)</f>
        <v>0.66300000000000003</v>
      </c>
      <c r="D20" s="122"/>
      <c r="E20" s="123"/>
      <c r="F20" s="153"/>
      <c r="G20" s="154">
        <f>(G18-C15)/G18</f>
        <v>0.70569350170579737</v>
      </c>
      <c r="H20" s="123"/>
      <c r="I20" s="108"/>
      <c r="Q20" s="108"/>
      <c r="R20" s="108"/>
    </row>
    <row r="21" spans="2:46" ht="6" customHeight="1" x14ac:dyDescent="0.25">
      <c r="B21" s="385"/>
      <c r="C21" s="121"/>
      <c r="D21" s="122"/>
      <c r="E21" s="123"/>
      <c r="F21" s="153"/>
      <c r="G21" s="123"/>
      <c r="H21" s="123"/>
      <c r="I21" s="108"/>
      <c r="R21" s="108"/>
    </row>
    <row r="22" spans="2:46" x14ac:dyDescent="0.25">
      <c r="C22" s="88"/>
      <c r="D22" s="85"/>
    </row>
    <row r="23" spans="2:46" ht="18.75" x14ac:dyDescent="0.25">
      <c r="B23" s="732" t="s">
        <v>974</v>
      </c>
      <c r="C23" s="732"/>
      <c r="D23" s="732"/>
      <c r="E23" s="732"/>
      <c r="F23" s="732"/>
      <c r="G23" s="732"/>
      <c r="H23" s="732"/>
      <c r="I23" s="107"/>
      <c r="J23" s="107"/>
      <c r="K23" s="732" t="s">
        <v>137</v>
      </c>
      <c r="L23" s="732"/>
      <c r="M23" s="732"/>
      <c r="N23" s="732"/>
      <c r="O23" s="732"/>
      <c r="P23" s="732"/>
      <c r="Q23" s="732"/>
      <c r="R23" s="107"/>
      <c r="S23" s="107"/>
      <c r="T23" s="732" t="s">
        <v>168</v>
      </c>
      <c r="U23" s="732"/>
      <c r="V23" s="732"/>
      <c r="W23" s="732"/>
      <c r="X23" s="732"/>
      <c r="Y23" s="732"/>
      <c r="Z23" s="732"/>
      <c r="AE23" s="734" t="s">
        <v>293</v>
      </c>
      <c r="AF23" s="734"/>
      <c r="AG23" s="734"/>
      <c r="AH23" s="734"/>
      <c r="AI23" s="734"/>
      <c r="AJ23" s="734"/>
      <c r="AK23" s="734"/>
      <c r="AN23" s="724" t="s">
        <v>774</v>
      </c>
      <c r="AO23" s="724"/>
      <c r="AP23" s="724"/>
      <c r="AQ23" s="724"/>
      <c r="AR23" s="724"/>
      <c r="AS23" s="724"/>
      <c r="AT23" s="724"/>
    </row>
    <row r="24" spans="2:46" ht="15.75" x14ac:dyDescent="0.25">
      <c r="B24" s="725" t="s">
        <v>276</v>
      </c>
      <c r="C24" s="725"/>
      <c r="D24" s="725"/>
      <c r="E24" s="725"/>
      <c r="F24" s="725"/>
      <c r="G24" s="725"/>
      <c r="H24" s="725"/>
      <c r="I24" s="108"/>
      <c r="J24" s="108"/>
      <c r="K24" s="725" t="s">
        <v>276</v>
      </c>
      <c r="L24" s="725"/>
      <c r="M24" s="725"/>
      <c r="N24" s="725"/>
      <c r="O24" s="725"/>
      <c r="P24" s="725"/>
      <c r="Q24" s="725"/>
      <c r="R24" s="108"/>
      <c r="S24" s="108"/>
      <c r="T24" s="725" t="s">
        <v>276</v>
      </c>
      <c r="U24" s="725"/>
      <c r="V24" s="725"/>
      <c r="W24" s="725"/>
      <c r="X24" s="725"/>
      <c r="Y24" s="725"/>
      <c r="Z24" s="725"/>
      <c r="AB24"/>
      <c r="AC24"/>
      <c r="AE24" s="725" t="s">
        <v>276</v>
      </c>
      <c r="AF24" s="725"/>
      <c r="AG24" s="725"/>
      <c r="AH24" s="725"/>
      <c r="AI24" s="725"/>
      <c r="AJ24" s="725"/>
      <c r="AK24" s="725"/>
      <c r="AN24" s="725" t="s">
        <v>276</v>
      </c>
      <c r="AO24" s="725"/>
      <c r="AP24" s="725"/>
      <c r="AQ24" s="725"/>
      <c r="AR24" s="725"/>
      <c r="AS24" s="725"/>
      <c r="AT24" s="725"/>
    </row>
    <row r="25" spans="2:46" ht="6" customHeight="1" x14ac:dyDescent="0.25">
      <c r="D25" s="103"/>
      <c r="M25" s="103"/>
      <c r="V25" s="104"/>
      <c r="AB25"/>
      <c r="AC25"/>
      <c r="AE25" s="80"/>
      <c r="AF25" s="80"/>
      <c r="AG25" s="80"/>
      <c r="AH25" s="80"/>
      <c r="AI25" s="80"/>
      <c r="AJ25" s="80"/>
      <c r="AK25" s="80"/>
      <c r="AN25" s="423"/>
      <c r="AO25" s="423"/>
      <c r="AP25" s="423"/>
      <c r="AQ25" s="423"/>
      <c r="AR25" s="423"/>
      <c r="AS25" s="423"/>
      <c r="AT25" s="423"/>
    </row>
    <row r="26" spans="2:46" hidden="1" x14ac:dyDescent="0.25">
      <c r="B26" s="24"/>
      <c r="C26" s="91" t="s">
        <v>348</v>
      </c>
      <c r="D26" s="629" t="s">
        <v>127</v>
      </c>
      <c r="E26" s="92"/>
      <c r="F26" s="27"/>
      <c r="G26" s="27"/>
      <c r="H26" s="27"/>
      <c r="K26" s="24"/>
      <c r="L26" s="91" t="s">
        <v>348</v>
      </c>
      <c r="M26" s="629" t="s">
        <v>127</v>
      </c>
      <c r="N26" s="92"/>
      <c r="O26" s="27"/>
      <c r="P26" s="27"/>
      <c r="Q26" s="27"/>
      <c r="T26" s="24"/>
      <c r="U26" s="91" t="s">
        <v>348</v>
      </c>
      <c r="V26" s="28" t="str">
        <f>D26</f>
        <v>Convencional</v>
      </c>
      <c r="W26" s="92"/>
      <c r="X26" s="27"/>
      <c r="Y26" s="27"/>
      <c r="Z26" s="27"/>
      <c r="AB26"/>
      <c r="AC26"/>
      <c r="AE26" s="80"/>
      <c r="AF26" s="80"/>
      <c r="AG26" s="80"/>
      <c r="AH26" s="80"/>
      <c r="AI26" s="80"/>
      <c r="AJ26" s="80"/>
      <c r="AK26" s="80"/>
      <c r="AN26" s="423"/>
      <c r="AO26" s="423"/>
      <c r="AP26" s="423"/>
      <c r="AQ26" s="423"/>
      <c r="AR26" s="423"/>
      <c r="AS26" s="423"/>
      <c r="AT26" s="423"/>
    </row>
    <row r="27" spans="2:46" ht="17.25" customHeight="1" x14ac:dyDescent="0.25">
      <c r="B27" s="24"/>
      <c r="C27" s="91" t="s">
        <v>355</v>
      </c>
      <c r="D27" s="644">
        <v>68109.22</v>
      </c>
      <c r="E27" s="92" t="s">
        <v>36</v>
      </c>
      <c r="F27" s="79"/>
      <c r="G27" s="89"/>
      <c r="H27" s="79"/>
      <c r="K27" s="24"/>
      <c r="L27" s="91" t="s">
        <v>355</v>
      </c>
      <c r="M27" s="644"/>
      <c r="N27" s="92" t="s">
        <v>36</v>
      </c>
      <c r="O27" s="80"/>
      <c r="P27" s="89"/>
      <c r="Q27" s="80"/>
      <c r="T27" s="24"/>
      <c r="U27" s="91" t="s">
        <v>355</v>
      </c>
      <c r="V27" s="28">
        <f>D27</f>
        <v>68109.22</v>
      </c>
      <c r="W27" s="92" t="s">
        <v>36</v>
      </c>
      <c r="X27" s="80"/>
      <c r="Y27" s="89"/>
      <c r="Z27" s="80"/>
      <c r="AB27"/>
      <c r="AC27"/>
      <c r="AE27" s="80"/>
      <c r="AF27" s="80"/>
      <c r="AG27" s="80"/>
      <c r="AH27" s="80"/>
      <c r="AI27" s="80"/>
      <c r="AJ27" s="80"/>
      <c r="AK27" s="80"/>
      <c r="AN27" s="423"/>
      <c r="AO27" s="423"/>
      <c r="AP27" s="423"/>
      <c r="AQ27" s="423"/>
      <c r="AR27" s="423"/>
      <c r="AS27" s="423"/>
      <c r="AT27" s="423"/>
    </row>
    <row r="28" spans="2:46" ht="6" customHeight="1" x14ac:dyDescent="0.25">
      <c r="B28" s="75"/>
      <c r="D28" s="45"/>
      <c r="E28" s="75"/>
      <c r="F28" s="100"/>
      <c r="G28" s="101"/>
      <c r="K28" s="75"/>
      <c r="M28" s="45"/>
      <c r="N28" s="75"/>
      <c r="O28" s="100"/>
      <c r="P28" s="101"/>
      <c r="T28" s="75"/>
      <c r="V28" s="45"/>
      <c r="W28" s="75"/>
      <c r="X28" s="100"/>
      <c r="Y28" s="101"/>
      <c r="AB28"/>
      <c r="AC28"/>
      <c r="AE28" s="80"/>
      <c r="AF28" s="80"/>
      <c r="AG28" s="80"/>
      <c r="AH28" s="80"/>
      <c r="AI28" s="80"/>
      <c r="AJ28" s="80"/>
      <c r="AK28" s="80"/>
      <c r="AN28" s="423"/>
      <c r="AO28" s="423"/>
      <c r="AP28" s="423"/>
      <c r="AQ28" s="423"/>
      <c r="AR28" s="423"/>
      <c r="AS28" s="423"/>
      <c r="AT28" s="423"/>
    </row>
    <row r="29" spans="2:46" x14ac:dyDescent="0.25">
      <c r="B29" s="25"/>
      <c r="C29" s="91" t="s">
        <v>350</v>
      </c>
      <c r="D29" s="644">
        <v>4326913.28</v>
      </c>
      <c r="E29" s="92" t="s">
        <v>353</v>
      </c>
      <c r="F29" s="79"/>
      <c r="G29" s="90"/>
      <c r="H29" s="89"/>
      <c r="K29" s="25"/>
      <c r="L29" s="91" t="s">
        <v>350</v>
      </c>
      <c r="M29" s="636"/>
      <c r="N29" s="92" t="s">
        <v>353</v>
      </c>
      <c r="O29" s="417"/>
      <c r="P29" s="90"/>
      <c r="Q29" s="89"/>
      <c r="T29" s="25"/>
      <c r="U29" s="91" t="s">
        <v>350</v>
      </c>
      <c r="V29" s="657">
        <f>D29</f>
        <v>4326913.28</v>
      </c>
      <c r="W29" s="92" t="s">
        <v>353</v>
      </c>
      <c r="X29" s="80"/>
      <c r="Y29" s="90"/>
      <c r="Z29" s="89"/>
      <c r="AB29"/>
      <c r="AC29"/>
      <c r="AE29" s="80"/>
      <c r="AF29" s="80"/>
      <c r="AG29" s="80"/>
      <c r="AH29" s="80"/>
      <c r="AI29" s="80"/>
      <c r="AJ29" s="80"/>
      <c r="AK29" s="80"/>
      <c r="AN29" s="423"/>
      <c r="AO29" s="423"/>
      <c r="AP29" s="423"/>
      <c r="AQ29" s="423"/>
      <c r="AR29" s="423"/>
      <c r="AS29" s="423"/>
      <c r="AT29" s="423"/>
    </row>
    <row r="30" spans="2:46" x14ac:dyDescent="0.25">
      <c r="B30" s="25"/>
      <c r="C30" s="91" t="s">
        <v>997</v>
      </c>
      <c r="D30" s="644">
        <v>1820163.56</v>
      </c>
      <c r="E30" s="92" t="s">
        <v>353</v>
      </c>
      <c r="F30" s="683"/>
      <c r="G30" s="90"/>
      <c r="H30" s="89"/>
      <c r="K30" s="25"/>
      <c r="L30" s="91"/>
      <c r="M30" s="636"/>
      <c r="N30" s="92"/>
      <c r="O30" s="672"/>
      <c r="P30" s="90"/>
      <c r="Q30" s="89"/>
      <c r="T30" s="25"/>
      <c r="U30" s="91"/>
      <c r="V30" s="657"/>
      <c r="W30" s="92"/>
      <c r="X30" s="672"/>
      <c r="Y30" s="90"/>
      <c r="Z30" s="89"/>
      <c r="AB30"/>
      <c r="AC30"/>
      <c r="AE30" s="672"/>
      <c r="AF30" s="672"/>
      <c r="AG30" s="672"/>
      <c r="AH30" s="672"/>
      <c r="AI30" s="672"/>
      <c r="AJ30" s="672"/>
      <c r="AK30" s="672"/>
      <c r="AN30" s="672"/>
      <c r="AO30" s="672"/>
      <c r="AP30" s="672"/>
      <c r="AQ30" s="672"/>
      <c r="AR30" s="672"/>
      <c r="AS30" s="672"/>
      <c r="AT30" s="672"/>
    </row>
    <row r="31" spans="2:46" x14ac:dyDescent="0.25">
      <c r="B31" s="25"/>
      <c r="C31" s="91" t="s">
        <v>428</v>
      </c>
      <c r="D31" s="644">
        <v>71.13</v>
      </c>
      <c r="E31" s="92" t="s">
        <v>358</v>
      </c>
      <c r="F31" s="91" t="s">
        <v>134</v>
      </c>
      <c r="G31" s="670">
        <v>0.5</v>
      </c>
      <c r="H31" s="89"/>
      <c r="K31" s="25"/>
      <c r="L31" s="91" t="s">
        <v>428</v>
      </c>
      <c r="M31" s="636"/>
      <c r="N31" s="92" t="s">
        <v>358</v>
      </c>
      <c r="O31" s="91" t="s">
        <v>134</v>
      </c>
      <c r="P31" s="632">
        <v>0.5</v>
      </c>
      <c r="Q31" s="89"/>
      <c r="T31" s="25"/>
      <c r="U31" s="91" t="s">
        <v>428</v>
      </c>
      <c r="V31" s="28">
        <f>D31</f>
        <v>71.13</v>
      </c>
      <c r="W31" s="92" t="s">
        <v>358</v>
      </c>
      <c r="X31" s="91" t="s">
        <v>134</v>
      </c>
      <c r="Y31" s="657">
        <f>G31</f>
        <v>0.5</v>
      </c>
      <c r="Z31" s="89"/>
      <c r="AB31"/>
      <c r="AC31"/>
      <c r="AE31" s="119"/>
      <c r="AF31" s="119"/>
      <c r="AG31" s="119"/>
      <c r="AH31" s="119"/>
      <c r="AI31" s="119"/>
      <c r="AJ31" s="119"/>
      <c r="AK31" s="119"/>
      <c r="AN31" s="423"/>
      <c r="AO31" s="423"/>
      <c r="AP31" s="423"/>
      <c r="AQ31" s="423"/>
      <c r="AR31" s="423"/>
      <c r="AS31" s="423"/>
      <c r="AT31" s="423"/>
    </row>
    <row r="32" spans="2:46" x14ac:dyDescent="0.25">
      <c r="B32" s="25"/>
      <c r="C32" s="91" t="s">
        <v>427</v>
      </c>
      <c r="D32" s="644">
        <v>8.4</v>
      </c>
      <c r="E32" s="92" t="s">
        <v>358</v>
      </c>
      <c r="F32" s="119"/>
      <c r="G32" s="90"/>
      <c r="H32" s="89"/>
      <c r="K32" s="25"/>
      <c r="L32" s="91" t="s">
        <v>427</v>
      </c>
      <c r="M32" s="636"/>
      <c r="N32" s="92" t="s">
        <v>358</v>
      </c>
      <c r="O32" s="417"/>
      <c r="P32" s="90"/>
      <c r="Q32" s="89"/>
      <c r="T32" s="25"/>
      <c r="U32" s="91" t="s">
        <v>427</v>
      </c>
      <c r="V32" s="28">
        <f>D32</f>
        <v>8.4</v>
      </c>
      <c r="W32" s="92" t="s">
        <v>358</v>
      </c>
      <c r="X32" s="119"/>
      <c r="Y32" s="90"/>
      <c r="Z32" s="89"/>
      <c r="AB32"/>
      <c r="AC32"/>
      <c r="AE32" s="119"/>
      <c r="AF32" s="119"/>
      <c r="AG32" s="119"/>
      <c r="AH32" s="119"/>
      <c r="AI32" s="119"/>
      <c r="AJ32" s="119"/>
      <c r="AK32" s="119"/>
      <c r="AN32" s="423"/>
      <c r="AO32" s="423"/>
      <c r="AP32" s="423"/>
      <c r="AQ32" s="423"/>
      <c r="AR32" s="423"/>
      <c r="AS32" s="423"/>
      <c r="AT32" s="423"/>
    </row>
    <row r="33" spans="2:46" x14ac:dyDescent="0.25">
      <c r="B33" s="25"/>
      <c r="C33" s="91" t="s">
        <v>429</v>
      </c>
      <c r="D33" s="644">
        <v>47671.01</v>
      </c>
      <c r="E33" s="92" t="s">
        <v>354</v>
      </c>
      <c r="F33" s="27"/>
      <c r="G33" s="27"/>
      <c r="H33" s="27"/>
      <c r="K33" s="25"/>
      <c r="L33" s="91" t="s">
        <v>429</v>
      </c>
      <c r="M33" s="636"/>
      <c r="N33" s="92" t="s">
        <v>354</v>
      </c>
      <c r="O33" s="27"/>
      <c r="P33" s="27"/>
      <c r="Q33" s="27"/>
      <c r="T33" s="25"/>
      <c r="U33" s="91" t="s">
        <v>351</v>
      </c>
      <c r="V33" s="28">
        <f>D33</f>
        <v>47671.01</v>
      </c>
      <c r="W33" s="92" t="s">
        <v>354</v>
      </c>
      <c r="X33" s="27"/>
      <c r="Y33" s="27"/>
      <c r="Z33" s="27"/>
      <c r="AB33"/>
      <c r="AC33"/>
      <c r="AE33" s="80"/>
      <c r="AF33" s="80"/>
      <c r="AG33" s="80"/>
      <c r="AH33" s="80"/>
      <c r="AI33" s="80"/>
      <c r="AJ33" s="80"/>
      <c r="AK33" s="80"/>
      <c r="AL33" s="108"/>
      <c r="AN33" s="423"/>
      <c r="AO33" s="423"/>
      <c r="AP33" s="423"/>
      <c r="AQ33" s="423"/>
      <c r="AR33" s="423"/>
      <c r="AS33" s="423"/>
      <c r="AT33" s="423"/>
    </row>
    <row r="34" spans="2:46" ht="6" customHeight="1" x14ac:dyDescent="0.25">
      <c r="B34" s="25"/>
      <c r="C34" s="25"/>
      <c r="D34" s="25"/>
      <c r="E34" s="25"/>
      <c r="F34" s="25"/>
      <c r="G34" s="25"/>
      <c r="H34" s="25"/>
      <c r="K34" s="25"/>
      <c r="L34" s="25"/>
      <c r="M34" s="25"/>
      <c r="N34" s="25"/>
      <c r="O34" s="25"/>
      <c r="P34" s="25"/>
      <c r="Q34" s="25"/>
      <c r="T34" s="25"/>
      <c r="U34" s="25"/>
      <c r="V34" s="25"/>
      <c r="W34" s="25"/>
      <c r="X34" s="25"/>
      <c r="Y34" s="25"/>
      <c r="Z34" s="25"/>
      <c r="AB34"/>
      <c r="AC34"/>
      <c r="AE34" s="80"/>
      <c r="AF34" s="80"/>
      <c r="AG34" s="80"/>
      <c r="AH34" s="80"/>
      <c r="AI34" s="80"/>
      <c r="AJ34" s="80"/>
      <c r="AK34" s="80"/>
      <c r="AL34" s="108"/>
      <c r="AN34" s="423"/>
      <c r="AO34" s="423"/>
      <c r="AP34" s="423"/>
      <c r="AQ34" s="423"/>
      <c r="AR34" s="423"/>
      <c r="AS34" s="423"/>
      <c r="AT34" s="423"/>
    </row>
    <row r="35" spans="2:46" ht="15.75" x14ac:dyDescent="0.25">
      <c r="B35" s="723" t="s">
        <v>352</v>
      </c>
      <c r="C35" s="723"/>
      <c r="D35" s="723"/>
      <c r="E35" s="723"/>
      <c r="F35" s="723"/>
      <c r="G35" s="723"/>
      <c r="H35" s="723"/>
      <c r="K35" s="723" t="s">
        <v>352</v>
      </c>
      <c r="L35" s="723"/>
      <c r="M35" s="723"/>
      <c r="N35" s="723"/>
      <c r="O35" s="723"/>
      <c r="P35" s="723"/>
      <c r="Q35" s="723"/>
      <c r="T35" s="723" t="s">
        <v>352</v>
      </c>
      <c r="U35" s="723"/>
      <c r="V35" s="723"/>
      <c r="W35" s="723"/>
      <c r="X35" s="723"/>
      <c r="Y35" s="723"/>
      <c r="Z35" s="723"/>
      <c r="AB35"/>
      <c r="AC35"/>
      <c r="AE35" s="723" t="s">
        <v>352</v>
      </c>
      <c r="AF35" s="723"/>
      <c r="AG35" s="723"/>
      <c r="AH35" s="723"/>
      <c r="AI35" s="723"/>
      <c r="AJ35" s="723"/>
      <c r="AK35" s="723"/>
      <c r="AL35" s="108"/>
      <c r="AN35" s="723" t="s">
        <v>352</v>
      </c>
      <c r="AO35" s="723"/>
      <c r="AP35" s="723"/>
      <c r="AQ35" s="723"/>
      <c r="AR35" s="723"/>
      <c r="AS35" s="723"/>
      <c r="AT35" s="723"/>
    </row>
    <row r="36" spans="2:46" ht="15.75" customHeight="1" x14ac:dyDescent="0.25">
      <c r="B36" s="385"/>
      <c r="C36" s="93" t="s">
        <v>349</v>
      </c>
      <c r="D36" s="644">
        <v>1697.66</v>
      </c>
      <c r="E36" s="94" t="s">
        <v>36</v>
      </c>
      <c r="F36" s="95"/>
      <c r="G36" s="95"/>
      <c r="H36" s="95"/>
      <c r="K36" s="385"/>
      <c r="L36" s="93" t="s">
        <v>349</v>
      </c>
      <c r="M36" s="644"/>
      <c r="N36" s="94" t="s">
        <v>36</v>
      </c>
      <c r="O36" s="95"/>
      <c r="P36" s="95"/>
      <c r="Q36" s="95"/>
      <c r="T36" s="81"/>
      <c r="U36" s="93" t="s">
        <v>349</v>
      </c>
      <c r="V36" s="28">
        <f>D36</f>
        <v>1697.66</v>
      </c>
      <c r="W36" s="94" t="s">
        <v>36</v>
      </c>
      <c r="X36" s="95"/>
      <c r="Y36" s="95"/>
      <c r="Z36" s="95"/>
      <c r="AB36"/>
      <c r="AC36"/>
      <c r="AE36" s="385"/>
      <c r="AF36" s="93" t="s">
        <v>349</v>
      </c>
      <c r="AG36" s="144">
        <v>1</v>
      </c>
      <c r="AH36" s="29" t="s">
        <v>382</v>
      </c>
      <c r="AI36" s="27"/>
      <c r="AJ36" s="27"/>
      <c r="AK36" s="27"/>
      <c r="AN36" s="385"/>
      <c r="AO36" s="93" t="s">
        <v>349</v>
      </c>
      <c r="AP36" s="431"/>
      <c r="AQ36" s="29" t="s">
        <v>382</v>
      </c>
      <c r="AR36" s="27"/>
      <c r="AS36" s="27"/>
      <c r="AT36" s="27"/>
    </row>
    <row r="37" spans="2:46" ht="6" customHeight="1" x14ac:dyDescent="0.25">
      <c r="B37" s="96"/>
      <c r="C37" s="96"/>
      <c r="D37" s="96"/>
      <c r="E37" s="96"/>
      <c r="F37" s="96"/>
      <c r="G37" s="96"/>
      <c r="H37" s="96"/>
      <c r="K37" s="96"/>
      <c r="L37" s="96"/>
      <c r="M37" s="96"/>
      <c r="N37" s="96"/>
      <c r="O37" s="96"/>
      <c r="P37" s="96"/>
      <c r="Q37" s="96"/>
      <c r="T37" s="96"/>
      <c r="U37" s="96"/>
      <c r="V37" s="96"/>
      <c r="W37" s="96"/>
      <c r="X37" s="96"/>
      <c r="Y37" s="96"/>
      <c r="Z37" s="96"/>
      <c r="AB37"/>
      <c r="AC37"/>
      <c r="AE37" s="29"/>
      <c r="AF37" s="73"/>
      <c r="AG37" s="73"/>
      <c r="AH37" s="73"/>
      <c r="AI37" s="27"/>
      <c r="AJ37" s="27"/>
      <c r="AK37" s="27"/>
      <c r="AL37" s="108"/>
      <c r="AN37" s="29"/>
      <c r="AO37" s="73"/>
      <c r="AP37" s="73"/>
      <c r="AQ37" s="73"/>
      <c r="AR37" s="27"/>
      <c r="AS37" s="27"/>
      <c r="AT37" s="27"/>
    </row>
    <row r="38" spans="2:46" ht="15.75" x14ac:dyDescent="0.25">
      <c r="B38" s="723" t="s">
        <v>338</v>
      </c>
      <c r="C38" s="723"/>
      <c r="D38" s="723"/>
      <c r="E38" s="723"/>
      <c r="F38" s="723"/>
      <c r="G38" s="723"/>
      <c r="H38" s="723"/>
      <c r="K38" s="723" t="s">
        <v>338</v>
      </c>
      <c r="L38" s="723"/>
      <c r="M38" s="723"/>
      <c r="N38" s="723"/>
      <c r="O38" s="723"/>
      <c r="P38" s="723"/>
      <c r="Q38" s="723"/>
      <c r="T38" s="723" t="s">
        <v>338</v>
      </c>
      <c r="U38" s="723"/>
      <c r="V38" s="723"/>
      <c r="W38" s="723"/>
      <c r="X38" s="723"/>
      <c r="Y38" s="723"/>
      <c r="Z38" s="723"/>
      <c r="AB38"/>
      <c r="AC38"/>
      <c r="AE38" s="723" t="s">
        <v>338</v>
      </c>
      <c r="AF38" s="723"/>
      <c r="AG38" s="723"/>
      <c r="AH38" s="723"/>
      <c r="AI38" s="723"/>
      <c r="AJ38" s="723"/>
      <c r="AK38" s="723"/>
      <c r="AL38" s="108"/>
      <c r="AN38" s="723" t="s">
        <v>338</v>
      </c>
      <c r="AO38" s="723"/>
      <c r="AP38" s="723"/>
      <c r="AQ38" s="723"/>
      <c r="AR38" s="723"/>
      <c r="AS38" s="723"/>
      <c r="AT38" s="723"/>
    </row>
    <row r="39" spans="2:46" x14ac:dyDescent="0.25">
      <c r="B39" s="97"/>
      <c r="C39" s="93" t="s">
        <v>164</v>
      </c>
      <c r="D39" s="644"/>
      <c r="E39" s="94" t="s">
        <v>358</v>
      </c>
      <c r="F39" s="95"/>
      <c r="G39" s="95"/>
      <c r="H39" s="95"/>
      <c r="I39" s="109"/>
      <c r="J39" s="109"/>
      <c r="K39" s="97"/>
      <c r="L39" s="93" t="s">
        <v>164</v>
      </c>
      <c r="M39" s="636"/>
      <c r="N39" s="94" t="s">
        <v>358</v>
      </c>
      <c r="O39" s="95"/>
      <c r="P39" s="95"/>
      <c r="Q39" s="95"/>
      <c r="R39" s="109"/>
      <c r="S39" s="109"/>
      <c r="T39" s="97"/>
      <c r="U39" s="93" t="s">
        <v>164</v>
      </c>
      <c r="V39" s="28">
        <f>D39</f>
        <v>0</v>
      </c>
      <c r="W39" s="94" t="s">
        <v>358</v>
      </c>
      <c r="X39" s="95"/>
      <c r="Y39" s="95"/>
      <c r="Z39" s="95"/>
      <c r="AB39"/>
      <c r="AC39"/>
      <c r="AE39" s="97"/>
      <c r="AF39" s="93" t="s">
        <v>164</v>
      </c>
      <c r="AG39" s="145">
        <v>0</v>
      </c>
      <c r="AH39" s="94" t="s">
        <v>358</v>
      </c>
      <c r="AI39" s="95"/>
      <c r="AJ39" s="95"/>
      <c r="AK39" s="95"/>
      <c r="AL39" s="108"/>
      <c r="AN39" s="97"/>
      <c r="AO39" s="93" t="s">
        <v>164</v>
      </c>
      <c r="AP39" s="427"/>
      <c r="AQ39" s="94" t="s">
        <v>358</v>
      </c>
      <c r="AR39" s="95"/>
      <c r="AS39" s="95"/>
      <c r="AT39" s="95"/>
    </row>
    <row r="40" spans="2:46" x14ac:dyDescent="0.25">
      <c r="B40" s="97"/>
      <c r="C40" s="93" t="s">
        <v>163</v>
      </c>
      <c r="D40" s="644">
        <v>13.34</v>
      </c>
      <c r="E40" s="94" t="s">
        <v>358</v>
      </c>
      <c r="F40" s="95"/>
      <c r="G40" s="95"/>
      <c r="H40" s="95"/>
      <c r="I40" s="109"/>
      <c r="J40" s="109"/>
      <c r="K40" s="97"/>
      <c r="L40" s="93" t="s">
        <v>163</v>
      </c>
      <c r="M40" s="636"/>
      <c r="N40" s="94" t="s">
        <v>358</v>
      </c>
      <c r="O40" s="95"/>
      <c r="P40" s="95"/>
      <c r="Q40" s="95"/>
      <c r="R40" s="109"/>
      <c r="S40" s="109"/>
      <c r="T40" s="97"/>
      <c r="U40" s="93" t="s">
        <v>163</v>
      </c>
      <c r="V40" s="28">
        <f>D40</f>
        <v>13.34</v>
      </c>
      <c r="W40" s="94" t="s">
        <v>358</v>
      </c>
      <c r="X40" s="95"/>
      <c r="Y40" s="95"/>
      <c r="Z40" s="95"/>
      <c r="AB40"/>
      <c r="AC40"/>
      <c r="AE40" s="97"/>
      <c r="AF40" s="93" t="s">
        <v>163</v>
      </c>
      <c r="AG40" s="145">
        <v>12</v>
      </c>
      <c r="AH40" s="94" t="s">
        <v>358</v>
      </c>
      <c r="AI40" s="95"/>
      <c r="AJ40" s="95"/>
      <c r="AK40" s="95"/>
      <c r="AL40" s="108"/>
      <c r="AN40" s="97"/>
      <c r="AO40" s="93" t="s">
        <v>163</v>
      </c>
      <c r="AP40" s="427"/>
      <c r="AQ40" s="94" t="s">
        <v>358</v>
      </c>
      <c r="AR40" s="95"/>
      <c r="AS40" s="95"/>
      <c r="AT40" s="95"/>
    </row>
    <row r="41" spans="2:46" x14ac:dyDescent="0.25">
      <c r="B41" s="97"/>
      <c r="C41" s="93" t="s">
        <v>28</v>
      </c>
      <c r="D41" s="644">
        <v>7.72</v>
      </c>
      <c r="E41" s="94" t="s">
        <v>358</v>
      </c>
      <c r="F41" s="95"/>
      <c r="G41" s="95"/>
      <c r="H41" s="95"/>
      <c r="K41" s="97"/>
      <c r="L41" s="93" t="s">
        <v>28</v>
      </c>
      <c r="M41" s="636"/>
      <c r="N41" s="94" t="s">
        <v>358</v>
      </c>
      <c r="O41" s="95"/>
      <c r="P41" s="95"/>
      <c r="Q41" s="95"/>
      <c r="T41" s="97"/>
      <c r="U41" s="93" t="s">
        <v>28</v>
      </c>
      <c r="V41" s="28">
        <f>D41</f>
        <v>7.72</v>
      </c>
      <c r="W41" s="94" t="s">
        <v>358</v>
      </c>
      <c r="X41" s="95"/>
      <c r="Y41" s="95"/>
      <c r="Z41" s="95"/>
      <c r="AE41" s="97"/>
      <c r="AF41" s="93" t="s">
        <v>28</v>
      </c>
      <c r="AG41" s="145">
        <v>5</v>
      </c>
      <c r="AH41" s="94" t="s">
        <v>358</v>
      </c>
      <c r="AI41" s="95"/>
      <c r="AJ41" s="95"/>
      <c r="AK41" s="95"/>
      <c r="AL41" s="108"/>
      <c r="AN41" s="97"/>
      <c r="AO41" s="93" t="s">
        <v>28</v>
      </c>
      <c r="AP41" s="427"/>
      <c r="AQ41" s="94" t="s">
        <v>358</v>
      </c>
      <c r="AR41" s="95"/>
      <c r="AS41" s="95"/>
      <c r="AT41" s="95"/>
    </row>
    <row r="42" spans="2:46" ht="6" customHeight="1" x14ac:dyDescent="0.25">
      <c r="B42" s="96"/>
      <c r="C42" s="96"/>
      <c r="D42" s="96"/>
      <c r="E42" s="96"/>
      <c r="F42" s="96"/>
      <c r="G42" s="96"/>
      <c r="H42" s="96"/>
      <c r="K42" s="96"/>
      <c r="L42" s="96"/>
      <c r="M42" s="96"/>
      <c r="N42" s="96"/>
      <c r="O42" s="96"/>
      <c r="P42" s="96"/>
      <c r="Q42" s="96"/>
      <c r="T42" s="96"/>
      <c r="U42" s="96"/>
      <c r="V42" s="143"/>
      <c r="W42" s="96"/>
      <c r="X42" s="96"/>
      <c r="Y42" s="96"/>
      <c r="Z42" s="96"/>
      <c r="AE42" s="96"/>
      <c r="AF42" s="96"/>
      <c r="AG42" s="143"/>
      <c r="AH42" s="96"/>
      <c r="AI42" s="96"/>
      <c r="AJ42" s="96"/>
      <c r="AK42" s="96"/>
      <c r="AL42" s="108"/>
      <c r="AN42" s="96"/>
      <c r="AO42" s="96"/>
      <c r="AP42" s="143"/>
      <c r="AQ42" s="96"/>
      <c r="AR42" s="96"/>
      <c r="AS42" s="96"/>
      <c r="AT42" s="96"/>
    </row>
    <row r="43" spans="2:46" ht="15.75" x14ac:dyDescent="0.25">
      <c r="B43" s="723" t="s">
        <v>339</v>
      </c>
      <c r="C43" s="723"/>
      <c r="D43" s="723"/>
      <c r="E43" s="723"/>
      <c r="F43" s="723"/>
      <c r="G43" s="723"/>
      <c r="H43" s="723"/>
      <c r="K43" s="723" t="s">
        <v>339</v>
      </c>
      <c r="L43" s="723"/>
      <c r="M43" s="723"/>
      <c r="N43" s="723"/>
      <c r="O43" s="723"/>
      <c r="P43" s="723"/>
      <c r="Q43" s="723"/>
      <c r="T43" s="723" t="s">
        <v>339</v>
      </c>
      <c r="U43" s="723"/>
      <c r="V43" s="723"/>
      <c r="W43" s="723"/>
      <c r="X43" s="723"/>
      <c r="Y43" s="723"/>
      <c r="Z43" s="723"/>
      <c r="AE43" s="723" t="s">
        <v>339</v>
      </c>
      <c r="AF43" s="723"/>
      <c r="AG43" s="723"/>
      <c r="AH43" s="723"/>
      <c r="AI43" s="723"/>
      <c r="AJ43" s="723"/>
      <c r="AK43" s="723"/>
      <c r="AL43" s="108"/>
      <c r="AN43" s="723" t="s">
        <v>339</v>
      </c>
      <c r="AO43" s="723"/>
      <c r="AP43" s="723"/>
      <c r="AQ43" s="723"/>
      <c r="AR43" s="723"/>
      <c r="AS43" s="723"/>
      <c r="AT43" s="723"/>
    </row>
    <row r="44" spans="2:46" outlineLevel="1" x14ac:dyDescent="0.25">
      <c r="B44" s="98"/>
      <c r="C44" s="179" t="s">
        <v>153</v>
      </c>
      <c r="D44" s="644">
        <v>0.27</v>
      </c>
      <c r="E44" s="94" t="s">
        <v>356</v>
      </c>
      <c r="F44" s="59"/>
      <c r="G44" s="99"/>
      <c r="H44" s="99"/>
      <c r="K44" s="98"/>
      <c r="L44" s="179" t="s">
        <v>153</v>
      </c>
      <c r="M44" s="636"/>
      <c r="N44" s="94" t="s">
        <v>356</v>
      </c>
      <c r="O44" s="59"/>
      <c r="P44" s="99"/>
      <c r="Q44" s="99"/>
      <c r="T44" s="98"/>
      <c r="U44" s="179" t="s">
        <v>153</v>
      </c>
      <c r="V44" s="28">
        <f t="shared" ref="V44:V59" si="0">D44</f>
        <v>0.27</v>
      </c>
      <c r="W44" s="94" t="s">
        <v>356</v>
      </c>
      <c r="X44" s="59"/>
      <c r="Y44" s="99"/>
      <c r="Z44" s="99"/>
      <c r="AE44" s="86"/>
      <c r="AF44" s="179" t="s">
        <v>153</v>
      </c>
      <c r="AG44" s="145">
        <v>2</v>
      </c>
      <c r="AH44" s="94" t="s">
        <v>356</v>
      </c>
      <c r="AI44" s="87"/>
      <c r="AJ44" s="73"/>
      <c r="AK44" s="73"/>
      <c r="AL44" s="108"/>
      <c r="AN44" s="86"/>
      <c r="AO44" s="179" t="s">
        <v>153</v>
      </c>
      <c r="AP44" s="427"/>
      <c r="AQ44" s="94" t="s">
        <v>356</v>
      </c>
      <c r="AR44" s="87"/>
      <c r="AS44" s="73"/>
      <c r="AT44" s="73"/>
    </row>
    <row r="45" spans="2:46" outlineLevel="1" x14ac:dyDescent="0.25">
      <c r="B45" s="98"/>
      <c r="C45" s="179" t="s">
        <v>552</v>
      </c>
      <c r="D45" s="644">
        <v>0.09</v>
      </c>
      <c r="E45" s="94" t="s">
        <v>356</v>
      </c>
      <c r="F45" s="59"/>
      <c r="G45" s="99"/>
      <c r="H45" s="99"/>
      <c r="K45" s="98"/>
      <c r="L45" s="179" t="s">
        <v>552</v>
      </c>
      <c r="M45" s="636"/>
      <c r="N45" s="94" t="s">
        <v>356</v>
      </c>
      <c r="O45" s="59"/>
      <c r="P45" s="99"/>
      <c r="Q45" s="99"/>
      <c r="T45" s="98"/>
      <c r="U45" s="179" t="s">
        <v>552</v>
      </c>
      <c r="V45" s="28">
        <f t="shared" si="0"/>
        <v>0.09</v>
      </c>
      <c r="W45" s="94" t="s">
        <v>356</v>
      </c>
      <c r="X45" s="59"/>
      <c r="Y45" s="99"/>
      <c r="Z45" s="99"/>
      <c r="AE45" s="86"/>
      <c r="AF45" s="179" t="s">
        <v>552</v>
      </c>
      <c r="AG45" s="145">
        <v>0</v>
      </c>
      <c r="AH45" s="94" t="s">
        <v>356</v>
      </c>
      <c r="AI45" s="87"/>
      <c r="AJ45" s="73"/>
      <c r="AK45" s="73"/>
      <c r="AL45" s="108"/>
      <c r="AN45" s="86"/>
      <c r="AO45" s="179" t="s">
        <v>552</v>
      </c>
      <c r="AP45" s="427"/>
      <c r="AQ45" s="94" t="s">
        <v>356</v>
      </c>
      <c r="AR45" s="87"/>
      <c r="AS45" s="73"/>
      <c r="AT45" s="73"/>
    </row>
    <row r="46" spans="2:46" outlineLevel="1" x14ac:dyDescent="0.25">
      <c r="B46" s="98"/>
      <c r="C46" s="179" t="s">
        <v>552</v>
      </c>
      <c r="D46" s="644">
        <v>0.47</v>
      </c>
      <c r="E46" s="94" t="s">
        <v>357</v>
      </c>
      <c r="F46" s="59"/>
      <c r="G46" s="99"/>
      <c r="H46" s="99"/>
      <c r="K46" s="98"/>
      <c r="L46" s="179" t="s">
        <v>552</v>
      </c>
      <c r="M46" s="636"/>
      <c r="N46" s="94" t="s">
        <v>357</v>
      </c>
      <c r="O46" s="59"/>
      <c r="P46" s="99"/>
      <c r="Q46" s="99"/>
      <c r="T46" s="98"/>
      <c r="U46" s="179" t="s">
        <v>552</v>
      </c>
      <c r="V46" s="28">
        <f t="shared" si="0"/>
        <v>0.47</v>
      </c>
      <c r="W46" s="94" t="s">
        <v>357</v>
      </c>
      <c r="X46" s="59"/>
      <c r="Y46" s="99"/>
      <c r="Z46" s="99"/>
      <c r="AE46" s="86"/>
      <c r="AF46" s="179" t="s">
        <v>552</v>
      </c>
      <c r="AG46" s="145">
        <v>0</v>
      </c>
      <c r="AH46" s="94" t="s">
        <v>357</v>
      </c>
      <c r="AI46" s="87"/>
      <c r="AJ46" s="73"/>
      <c r="AK46" s="73"/>
      <c r="AL46" s="108"/>
      <c r="AN46" s="86"/>
      <c r="AO46" s="179" t="s">
        <v>552</v>
      </c>
      <c r="AP46" s="427"/>
      <c r="AQ46" s="94" t="s">
        <v>357</v>
      </c>
      <c r="AR46" s="87"/>
      <c r="AS46" s="73"/>
      <c r="AT46" s="73"/>
    </row>
    <row r="47" spans="2:46" outlineLevel="1" x14ac:dyDescent="0.25">
      <c r="B47" s="98"/>
      <c r="C47" s="179" t="s">
        <v>464</v>
      </c>
      <c r="D47" s="644"/>
      <c r="E47" s="94" t="s">
        <v>356</v>
      </c>
      <c r="F47" s="59"/>
      <c r="G47" s="99"/>
      <c r="H47" s="99"/>
      <c r="K47" s="98"/>
      <c r="L47" s="179" t="s">
        <v>464</v>
      </c>
      <c r="M47" s="636"/>
      <c r="N47" s="94" t="s">
        <v>356</v>
      </c>
      <c r="O47" s="59"/>
      <c r="P47" s="99"/>
      <c r="Q47" s="99"/>
      <c r="T47" s="98"/>
      <c r="U47" s="179" t="s">
        <v>464</v>
      </c>
      <c r="V47" s="28">
        <f t="shared" si="0"/>
        <v>0</v>
      </c>
      <c r="W47" s="94" t="s">
        <v>356</v>
      </c>
      <c r="X47" s="59"/>
      <c r="Y47" s="99"/>
      <c r="Z47" s="99"/>
      <c r="AE47" s="86"/>
      <c r="AF47" s="179" t="s">
        <v>464</v>
      </c>
      <c r="AG47" s="145">
        <v>0</v>
      </c>
      <c r="AH47" s="94" t="s">
        <v>356</v>
      </c>
      <c r="AI47" s="87"/>
      <c r="AJ47" s="73"/>
      <c r="AK47" s="73"/>
      <c r="AL47" s="108"/>
      <c r="AN47" s="86"/>
      <c r="AO47" s="179" t="s">
        <v>464</v>
      </c>
      <c r="AP47" s="427"/>
      <c r="AQ47" s="94" t="s">
        <v>356</v>
      </c>
      <c r="AR47" s="87"/>
      <c r="AS47" s="73"/>
      <c r="AT47" s="73"/>
    </row>
    <row r="48" spans="2:46" outlineLevel="1" x14ac:dyDescent="0.25">
      <c r="B48" s="98"/>
      <c r="C48" s="179" t="s">
        <v>464</v>
      </c>
      <c r="D48" s="644"/>
      <c r="E48" s="94" t="s">
        <v>357</v>
      </c>
      <c r="F48" s="59"/>
      <c r="G48" s="99"/>
      <c r="H48" s="99"/>
      <c r="K48" s="98"/>
      <c r="L48" s="179" t="s">
        <v>464</v>
      </c>
      <c r="M48" s="636"/>
      <c r="N48" s="94" t="s">
        <v>357</v>
      </c>
      <c r="O48" s="59"/>
      <c r="P48" s="99"/>
      <c r="Q48" s="99"/>
      <c r="T48" s="98"/>
      <c r="U48" s="179" t="s">
        <v>464</v>
      </c>
      <c r="V48" s="28">
        <f t="shared" si="0"/>
        <v>0</v>
      </c>
      <c r="W48" s="94" t="s">
        <v>357</v>
      </c>
      <c r="X48" s="59"/>
      <c r="Y48" s="99"/>
      <c r="Z48" s="99"/>
      <c r="AE48" s="86"/>
      <c r="AF48" s="179" t="s">
        <v>464</v>
      </c>
      <c r="AG48" s="145">
        <v>0</v>
      </c>
      <c r="AH48" s="94" t="s">
        <v>357</v>
      </c>
      <c r="AI48" s="87"/>
      <c r="AJ48" s="73"/>
      <c r="AK48" s="73"/>
      <c r="AL48" s="108"/>
      <c r="AN48" s="86"/>
      <c r="AO48" s="179" t="s">
        <v>464</v>
      </c>
      <c r="AP48" s="427"/>
      <c r="AQ48" s="94" t="s">
        <v>357</v>
      </c>
      <c r="AR48" s="87"/>
      <c r="AS48" s="73"/>
      <c r="AT48" s="73"/>
    </row>
    <row r="49" spans="2:46" outlineLevel="1" x14ac:dyDescent="0.25">
      <c r="B49" s="98"/>
      <c r="C49" s="179" t="s">
        <v>465</v>
      </c>
      <c r="D49" s="644">
        <v>0.17</v>
      </c>
      <c r="E49" s="94" t="s">
        <v>356</v>
      </c>
      <c r="F49" s="59"/>
      <c r="G49" s="99"/>
      <c r="H49" s="99"/>
      <c r="K49" s="98"/>
      <c r="L49" s="179" t="s">
        <v>465</v>
      </c>
      <c r="M49" s="636"/>
      <c r="N49" s="94" t="s">
        <v>356</v>
      </c>
      <c r="O49" s="59"/>
      <c r="P49" s="99"/>
      <c r="Q49" s="99"/>
      <c r="T49" s="98"/>
      <c r="U49" s="179" t="s">
        <v>465</v>
      </c>
      <c r="V49" s="28">
        <f t="shared" si="0"/>
        <v>0.17</v>
      </c>
      <c r="W49" s="94" t="s">
        <v>356</v>
      </c>
      <c r="X49" s="59"/>
      <c r="Y49" s="99"/>
      <c r="Z49" s="99"/>
      <c r="AE49" s="86"/>
      <c r="AF49" s="179" t="s">
        <v>465</v>
      </c>
      <c r="AG49" s="145">
        <v>0</v>
      </c>
      <c r="AH49" s="94" t="s">
        <v>356</v>
      </c>
      <c r="AI49" s="87"/>
      <c r="AJ49" s="73"/>
      <c r="AK49" s="73"/>
      <c r="AL49" s="108"/>
      <c r="AN49" s="86"/>
      <c r="AO49" s="179" t="s">
        <v>465</v>
      </c>
      <c r="AP49" s="427"/>
      <c r="AQ49" s="94" t="s">
        <v>356</v>
      </c>
      <c r="AR49" s="87"/>
      <c r="AS49" s="73"/>
      <c r="AT49" s="73"/>
    </row>
    <row r="50" spans="2:46" outlineLevel="1" x14ac:dyDescent="0.25">
      <c r="B50" s="98"/>
      <c r="C50" s="179" t="s">
        <v>457</v>
      </c>
      <c r="D50" s="644"/>
      <c r="E50" s="94" t="s">
        <v>356</v>
      </c>
      <c r="F50" s="59"/>
      <c r="G50" s="99"/>
      <c r="H50" s="99"/>
      <c r="K50" s="98"/>
      <c r="L50" s="179" t="s">
        <v>457</v>
      </c>
      <c r="M50" s="636"/>
      <c r="N50" s="94" t="s">
        <v>356</v>
      </c>
      <c r="O50" s="59"/>
      <c r="P50" s="99"/>
      <c r="Q50" s="99"/>
      <c r="T50" s="98"/>
      <c r="U50" s="179" t="s">
        <v>457</v>
      </c>
      <c r="V50" s="28">
        <f t="shared" si="0"/>
        <v>0</v>
      </c>
      <c r="W50" s="94" t="s">
        <v>356</v>
      </c>
      <c r="X50" s="59"/>
      <c r="Y50" s="99"/>
      <c r="Z50" s="99"/>
      <c r="AE50" s="86"/>
      <c r="AF50" s="179" t="s">
        <v>457</v>
      </c>
      <c r="AG50" s="145">
        <v>0</v>
      </c>
      <c r="AH50" s="94" t="s">
        <v>356</v>
      </c>
      <c r="AI50" s="87"/>
      <c r="AJ50" s="73"/>
      <c r="AK50" s="73"/>
      <c r="AL50" s="108"/>
      <c r="AN50" s="86"/>
      <c r="AO50" s="179" t="s">
        <v>457</v>
      </c>
      <c r="AP50" s="427"/>
      <c r="AQ50" s="94" t="s">
        <v>356</v>
      </c>
      <c r="AR50" s="87"/>
      <c r="AS50" s="73"/>
      <c r="AT50" s="73"/>
    </row>
    <row r="51" spans="2:46" outlineLevel="1" x14ac:dyDescent="0.25">
      <c r="B51" s="98"/>
      <c r="C51" s="179" t="s">
        <v>133</v>
      </c>
      <c r="D51" s="644"/>
      <c r="E51" s="94" t="s">
        <v>356</v>
      </c>
      <c r="F51" s="95"/>
      <c r="G51" s="99"/>
      <c r="H51" s="99"/>
      <c r="K51" s="98"/>
      <c r="L51" s="179" t="s">
        <v>133</v>
      </c>
      <c r="M51" s="636"/>
      <c r="N51" s="94" t="s">
        <v>356</v>
      </c>
      <c r="O51" s="95"/>
      <c r="P51" s="99"/>
      <c r="Q51" s="99"/>
      <c r="T51" s="98"/>
      <c r="U51" s="179" t="s">
        <v>133</v>
      </c>
      <c r="V51" s="28">
        <f t="shared" si="0"/>
        <v>0</v>
      </c>
      <c r="W51" s="94" t="s">
        <v>356</v>
      </c>
      <c r="X51" s="95"/>
      <c r="Y51" s="99"/>
      <c r="Z51" s="99"/>
      <c r="AE51" s="86"/>
      <c r="AF51" s="179" t="s">
        <v>133</v>
      </c>
      <c r="AG51" s="145">
        <v>0</v>
      </c>
      <c r="AH51" s="94" t="s">
        <v>356</v>
      </c>
      <c r="AI51" s="27"/>
      <c r="AJ51" s="73"/>
      <c r="AK51" s="73"/>
      <c r="AL51" s="108"/>
      <c r="AN51" s="86"/>
      <c r="AO51" s="179" t="s">
        <v>133</v>
      </c>
      <c r="AP51" s="427"/>
      <c r="AQ51" s="94" t="s">
        <v>356</v>
      </c>
      <c r="AR51" s="27"/>
      <c r="AS51" s="73"/>
      <c r="AT51" s="73"/>
    </row>
    <row r="52" spans="2:46" outlineLevel="1" x14ac:dyDescent="0.25">
      <c r="B52" s="98"/>
      <c r="C52" s="179" t="s">
        <v>458</v>
      </c>
      <c r="D52" s="644"/>
      <c r="E52" s="94" t="s">
        <v>356</v>
      </c>
      <c r="F52" s="95"/>
      <c r="G52" s="99"/>
      <c r="H52" s="99"/>
      <c r="K52" s="98"/>
      <c r="L52" s="179" t="s">
        <v>458</v>
      </c>
      <c r="M52" s="636"/>
      <c r="N52" s="94" t="s">
        <v>356</v>
      </c>
      <c r="O52" s="95"/>
      <c r="P52" s="99"/>
      <c r="Q52" s="99"/>
      <c r="T52" s="98"/>
      <c r="U52" s="179" t="s">
        <v>458</v>
      </c>
      <c r="V52" s="28">
        <f t="shared" si="0"/>
        <v>0</v>
      </c>
      <c r="W52" s="94" t="s">
        <v>356</v>
      </c>
      <c r="X52" s="95"/>
      <c r="Y52" s="99"/>
      <c r="Z52" s="99"/>
      <c r="AE52" s="86"/>
      <c r="AF52" s="179" t="s">
        <v>458</v>
      </c>
      <c r="AG52" s="145">
        <v>0</v>
      </c>
      <c r="AH52" s="94" t="s">
        <v>356</v>
      </c>
      <c r="AI52" s="27"/>
      <c r="AJ52" s="73"/>
      <c r="AK52" s="73"/>
      <c r="AL52" s="108"/>
      <c r="AN52" s="86"/>
      <c r="AO52" s="179" t="s">
        <v>458</v>
      </c>
      <c r="AP52" s="427"/>
      <c r="AQ52" s="94" t="s">
        <v>356</v>
      </c>
      <c r="AR52" s="27"/>
      <c r="AS52" s="73"/>
      <c r="AT52" s="73"/>
    </row>
    <row r="53" spans="2:46" outlineLevel="1" x14ac:dyDescent="0.25">
      <c r="B53" s="98"/>
      <c r="C53" s="179" t="s">
        <v>459</v>
      </c>
      <c r="D53" s="644"/>
      <c r="E53" s="94" t="s">
        <v>356</v>
      </c>
      <c r="F53" s="95"/>
      <c r="G53" s="99"/>
      <c r="H53" s="99"/>
      <c r="K53" s="98"/>
      <c r="L53" s="179" t="s">
        <v>459</v>
      </c>
      <c r="M53" s="636"/>
      <c r="N53" s="94" t="s">
        <v>356</v>
      </c>
      <c r="O53" s="95"/>
      <c r="P53" s="99"/>
      <c r="Q53" s="99"/>
      <c r="T53" s="98"/>
      <c r="U53" s="179" t="s">
        <v>459</v>
      </c>
      <c r="V53" s="28">
        <f t="shared" si="0"/>
        <v>0</v>
      </c>
      <c r="W53" s="94" t="s">
        <v>356</v>
      </c>
      <c r="X53" s="95"/>
      <c r="Y53" s="99"/>
      <c r="Z53" s="99"/>
      <c r="AE53" s="86"/>
      <c r="AF53" s="179" t="s">
        <v>459</v>
      </c>
      <c r="AG53" s="145">
        <v>0</v>
      </c>
      <c r="AH53" s="94" t="s">
        <v>356</v>
      </c>
      <c r="AI53" s="27"/>
      <c r="AJ53" s="73"/>
      <c r="AK53" s="73"/>
      <c r="AL53" s="108"/>
      <c r="AN53" s="86"/>
      <c r="AO53" s="179" t="s">
        <v>459</v>
      </c>
      <c r="AP53" s="427"/>
      <c r="AQ53" s="94" t="s">
        <v>356</v>
      </c>
      <c r="AR53" s="27"/>
      <c r="AS53" s="73"/>
      <c r="AT53" s="73"/>
    </row>
    <row r="54" spans="2:46" outlineLevel="1" x14ac:dyDescent="0.25">
      <c r="B54" s="98"/>
      <c r="C54" s="179" t="s">
        <v>460</v>
      </c>
      <c r="D54" s="644">
        <v>0.05</v>
      </c>
      <c r="E54" s="94" t="s">
        <v>357</v>
      </c>
      <c r="F54" s="95"/>
      <c r="G54" s="99"/>
      <c r="H54" s="99"/>
      <c r="K54" s="98"/>
      <c r="L54" s="179" t="s">
        <v>460</v>
      </c>
      <c r="M54" s="636"/>
      <c r="N54" s="94" t="s">
        <v>357</v>
      </c>
      <c r="O54" s="95"/>
      <c r="P54" s="99"/>
      <c r="Q54" s="99"/>
      <c r="T54" s="98"/>
      <c r="U54" s="179" t="s">
        <v>460</v>
      </c>
      <c r="V54" s="28">
        <f t="shared" si="0"/>
        <v>0.05</v>
      </c>
      <c r="W54" s="94" t="s">
        <v>357</v>
      </c>
      <c r="X54" s="95"/>
      <c r="Y54" s="99"/>
      <c r="Z54" s="99"/>
      <c r="AE54" s="86"/>
      <c r="AF54" s="179" t="s">
        <v>460</v>
      </c>
      <c r="AG54" s="145">
        <v>1</v>
      </c>
      <c r="AH54" s="94" t="s">
        <v>357</v>
      </c>
      <c r="AI54" s="27"/>
      <c r="AJ54" s="73"/>
      <c r="AK54" s="73"/>
      <c r="AL54" s="108"/>
      <c r="AN54" s="86"/>
      <c r="AO54" s="179" t="s">
        <v>460</v>
      </c>
      <c r="AP54" s="427"/>
      <c r="AQ54" s="94" t="s">
        <v>357</v>
      </c>
      <c r="AR54" s="27"/>
      <c r="AS54" s="73"/>
      <c r="AT54" s="73"/>
    </row>
    <row r="55" spans="2:46" outlineLevel="1" x14ac:dyDescent="0.25">
      <c r="B55" s="98"/>
      <c r="C55" s="179" t="s">
        <v>461</v>
      </c>
      <c r="D55" s="644"/>
      <c r="E55" s="94" t="s">
        <v>357</v>
      </c>
      <c r="F55" s="95"/>
      <c r="G55" s="99"/>
      <c r="H55" s="99"/>
      <c r="K55" s="98"/>
      <c r="L55" s="179" t="s">
        <v>461</v>
      </c>
      <c r="M55" s="636"/>
      <c r="N55" s="94" t="s">
        <v>357</v>
      </c>
      <c r="O55" s="95"/>
      <c r="P55" s="99"/>
      <c r="Q55" s="99"/>
      <c r="T55" s="98"/>
      <c r="U55" s="179" t="s">
        <v>461</v>
      </c>
      <c r="V55" s="28">
        <f t="shared" si="0"/>
        <v>0</v>
      </c>
      <c r="W55" s="94" t="s">
        <v>357</v>
      </c>
      <c r="X55" s="95"/>
      <c r="Y55" s="99"/>
      <c r="Z55" s="99"/>
      <c r="AE55" s="86"/>
      <c r="AF55" s="179" t="s">
        <v>461</v>
      </c>
      <c r="AG55" s="145">
        <v>0</v>
      </c>
      <c r="AH55" s="94" t="s">
        <v>357</v>
      </c>
      <c r="AI55" s="27"/>
      <c r="AJ55" s="73"/>
      <c r="AK55" s="73"/>
      <c r="AL55" s="108"/>
      <c r="AN55" s="86"/>
      <c r="AO55" s="179" t="s">
        <v>461</v>
      </c>
      <c r="AP55" s="427"/>
      <c r="AQ55" s="94" t="s">
        <v>357</v>
      </c>
      <c r="AR55" s="27"/>
      <c r="AS55" s="73"/>
      <c r="AT55" s="73"/>
    </row>
    <row r="56" spans="2:46" ht="16.5" customHeight="1" outlineLevel="1" x14ac:dyDescent="0.25">
      <c r="B56" s="98"/>
      <c r="C56" s="179" t="s">
        <v>462</v>
      </c>
      <c r="D56" s="644">
        <v>0.18</v>
      </c>
      <c r="E56" s="94" t="s">
        <v>359</v>
      </c>
      <c r="F56" s="95"/>
      <c r="G56" s="99" t="s">
        <v>873</v>
      </c>
      <c r="H56" s="99"/>
      <c r="K56" s="98"/>
      <c r="L56" s="179" t="s">
        <v>462</v>
      </c>
      <c r="M56" s="636"/>
      <c r="N56" s="94" t="s">
        <v>359</v>
      </c>
      <c r="O56" s="95"/>
      <c r="P56" s="99"/>
      <c r="Q56" s="99"/>
      <c r="T56" s="98"/>
      <c r="U56" s="179" t="s">
        <v>462</v>
      </c>
      <c r="V56" s="28">
        <f t="shared" si="0"/>
        <v>0.18</v>
      </c>
      <c r="W56" s="94" t="s">
        <v>359</v>
      </c>
      <c r="X56" s="95"/>
      <c r="Y56" s="99"/>
      <c r="Z56" s="99"/>
      <c r="AE56" s="86"/>
      <c r="AF56" s="179" t="s">
        <v>462</v>
      </c>
      <c r="AG56" s="145">
        <v>2</v>
      </c>
      <c r="AH56" s="94" t="s">
        <v>359</v>
      </c>
      <c r="AI56" s="27"/>
      <c r="AJ56" s="73"/>
      <c r="AK56" s="73"/>
      <c r="AL56" s="108"/>
      <c r="AN56" s="86"/>
      <c r="AO56" s="179" t="s">
        <v>462</v>
      </c>
      <c r="AP56" s="427"/>
      <c r="AQ56" s="94" t="s">
        <v>359</v>
      </c>
      <c r="AR56" s="27"/>
      <c r="AS56" s="73"/>
      <c r="AT56" s="73"/>
    </row>
    <row r="57" spans="2:46" outlineLevel="1" x14ac:dyDescent="0.25">
      <c r="B57" s="93" t="s">
        <v>30</v>
      </c>
      <c r="C57" s="634" t="s">
        <v>1054</v>
      </c>
      <c r="D57" s="644">
        <v>0.67</v>
      </c>
      <c r="E57" s="94" t="s">
        <v>356</v>
      </c>
      <c r="F57" s="95"/>
      <c r="G57" s="99"/>
      <c r="H57" s="99"/>
      <c r="K57" s="93" t="s">
        <v>30</v>
      </c>
      <c r="L57" s="629" t="s">
        <v>167</v>
      </c>
      <c r="M57" s="636"/>
      <c r="N57" s="94" t="s">
        <v>356</v>
      </c>
      <c r="O57" s="95"/>
      <c r="P57" s="99"/>
      <c r="Q57" s="99"/>
      <c r="T57" s="93" t="s">
        <v>30</v>
      </c>
      <c r="U57" s="28" t="s">
        <v>167</v>
      </c>
      <c r="V57" s="28">
        <f t="shared" si="0"/>
        <v>0.67</v>
      </c>
      <c r="W57" s="94" t="s">
        <v>356</v>
      </c>
      <c r="X57" s="95"/>
      <c r="Y57" s="99"/>
      <c r="Z57" s="99"/>
      <c r="AE57" s="24" t="s">
        <v>154</v>
      </c>
      <c r="AF57" s="44" t="s">
        <v>167</v>
      </c>
      <c r="AG57" s="145">
        <v>0</v>
      </c>
      <c r="AH57" s="94" t="s">
        <v>356</v>
      </c>
      <c r="AI57" s="27"/>
      <c r="AJ57" s="73"/>
      <c r="AK57" s="73"/>
      <c r="AL57" s="108"/>
      <c r="AN57" s="24" t="s">
        <v>154</v>
      </c>
      <c r="AO57" s="44" t="s">
        <v>167</v>
      </c>
      <c r="AP57" s="427"/>
      <c r="AQ57" s="94" t="s">
        <v>356</v>
      </c>
      <c r="AR57" s="27"/>
      <c r="AS57" s="73"/>
      <c r="AT57" s="73"/>
    </row>
    <row r="58" spans="2:46" outlineLevel="1" x14ac:dyDescent="0.25">
      <c r="B58" s="93" t="s">
        <v>30</v>
      </c>
      <c r="C58" s="634" t="s">
        <v>1054</v>
      </c>
      <c r="D58" s="644">
        <v>0.19</v>
      </c>
      <c r="E58" s="94" t="s">
        <v>357</v>
      </c>
      <c r="F58" s="95"/>
      <c r="G58" s="99"/>
      <c r="H58" s="99"/>
      <c r="J58" s="110"/>
      <c r="K58" s="93" t="s">
        <v>30</v>
      </c>
      <c r="L58" s="629" t="s">
        <v>167</v>
      </c>
      <c r="M58" s="636"/>
      <c r="N58" s="94" t="s">
        <v>357</v>
      </c>
      <c r="O58" s="95"/>
      <c r="P58" s="99"/>
      <c r="Q58" s="99"/>
      <c r="S58" s="110"/>
      <c r="T58" s="93" t="s">
        <v>30</v>
      </c>
      <c r="U58" s="28" t="s">
        <v>167</v>
      </c>
      <c r="V58" s="28">
        <f t="shared" si="0"/>
        <v>0.19</v>
      </c>
      <c r="W58" s="94" t="s">
        <v>357</v>
      </c>
      <c r="X58" s="95"/>
      <c r="Y58" s="99"/>
      <c r="Z58" s="99"/>
      <c r="AE58" s="24" t="s">
        <v>154</v>
      </c>
      <c r="AF58" s="44" t="s">
        <v>167</v>
      </c>
      <c r="AG58" s="145">
        <v>0</v>
      </c>
      <c r="AH58" s="94" t="s">
        <v>357</v>
      </c>
      <c r="AI58" s="27"/>
      <c r="AJ58" s="73"/>
      <c r="AK58" s="73"/>
      <c r="AL58" s="108"/>
      <c r="AN58" s="24" t="s">
        <v>154</v>
      </c>
      <c r="AO58" s="44" t="s">
        <v>167</v>
      </c>
      <c r="AP58" s="427"/>
      <c r="AQ58" s="94" t="s">
        <v>357</v>
      </c>
      <c r="AR58" s="27"/>
      <c r="AS58" s="73"/>
      <c r="AT58" s="73"/>
    </row>
    <row r="59" spans="2:46" outlineLevel="1" x14ac:dyDescent="0.25">
      <c r="B59" s="93" t="s">
        <v>30</v>
      </c>
      <c r="C59" s="635" t="s">
        <v>1054</v>
      </c>
      <c r="D59" s="644">
        <v>1.1499999999999999</v>
      </c>
      <c r="E59" s="94" t="s">
        <v>359</v>
      </c>
      <c r="F59" s="95"/>
      <c r="G59" s="99"/>
      <c r="H59" s="99"/>
      <c r="K59" s="93" t="s">
        <v>30</v>
      </c>
      <c r="L59" s="637" t="s">
        <v>167</v>
      </c>
      <c r="M59" s="636"/>
      <c r="N59" s="94" t="s">
        <v>359</v>
      </c>
      <c r="O59" s="95"/>
      <c r="P59" s="99"/>
      <c r="Q59" s="99"/>
      <c r="T59" s="93" t="s">
        <v>30</v>
      </c>
      <c r="U59" s="30" t="s">
        <v>167</v>
      </c>
      <c r="V59" s="28">
        <f t="shared" si="0"/>
        <v>1.1499999999999999</v>
      </c>
      <c r="W59" s="94" t="s">
        <v>359</v>
      </c>
      <c r="X59" s="95"/>
      <c r="Y59" s="99"/>
      <c r="Z59" s="99"/>
      <c r="AE59" s="24" t="s">
        <v>154</v>
      </c>
      <c r="AF59" s="30" t="s">
        <v>167</v>
      </c>
      <c r="AG59" s="145">
        <v>0</v>
      </c>
      <c r="AH59" s="94" t="s">
        <v>359</v>
      </c>
      <c r="AI59" s="27"/>
      <c r="AJ59" s="73"/>
      <c r="AK59" s="73"/>
      <c r="AL59" s="108"/>
      <c r="AN59" s="24" t="s">
        <v>154</v>
      </c>
      <c r="AO59" s="30" t="s">
        <v>167</v>
      </c>
      <c r="AP59" s="427"/>
      <c r="AQ59" s="94" t="s">
        <v>359</v>
      </c>
      <c r="AR59" s="27"/>
      <c r="AS59" s="73"/>
      <c r="AT59" s="73"/>
    </row>
    <row r="60" spans="2:46" ht="6" customHeight="1" x14ac:dyDescent="0.25">
      <c r="B60" s="96"/>
      <c r="C60" s="96"/>
      <c r="D60" s="96"/>
      <c r="E60" s="96"/>
      <c r="F60" s="96"/>
      <c r="G60" s="96"/>
      <c r="H60" s="96"/>
      <c r="K60" s="96"/>
      <c r="L60" s="96"/>
      <c r="M60" s="96"/>
      <c r="N60" s="96"/>
      <c r="O60" s="96"/>
      <c r="P60" s="96"/>
      <c r="Q60" s="96"/>
      <c r="T60" s="96"/>
      <c r="U60" s="96"/>
      <c r="V60" s="96"/>
      <c r="W60" s="96"/>
      <c r="X60" s="96"/>
      <c r="Y60" s="96"/>
      <c r="Z60" s="96"/>
      <c r="AE60" s="29"/>
      <c r="AF60" s="73"/>
      <c r="AG60" s="73"/>
      <c r="AH60" s="73"/>
      <c r="AI60" s="27"/>
      <c r="AJ60" s="27"/>
      <c r="AK60" s="27"/>
      <c r="AL60" s="108"/>
      <c r="AN60" s="29"/>
      <c r="AO60" s="73"/>
      <c r="AP60" s="73"/>
      <c r="AQ60" s="73"/>
      <c r="AR60" s="27"/>
      <c r="AS60" s="27"/>
      <c r="AT60" s="27"/>
    </row>
    <row r="61" spans="2:46" ht="15.75" x14ac:dyDescent="0.25">
      <c r="B61" s="723" t="s">
        <v>360</v>
      </c>
      <c r="C61" s="723"/>
      <c r="D61" s="723"/>
      <c r="E61" s="723"/>
      <c r="F61" s="723"/>
      <c r="G61" s="723"/>
      <c r="H61" s="723"/>
      <c r="K61" s="723" t="s">
        <v>360</v>
      </c>
      <c r="L61" s="723"/>
      <c r="M61" s="723"/>
      <c r="N61" s="723"/>
      <c r="O61" s="723"/>
      <c r="P61" s="723"/>
      <c r="Q61" s="723"/>
      <c r="T61" s="723" t="s">
        <v>360</v>
      </c>
      <c r="U61" s="723"/>
      <c r="V61" s="723"/>
      <c r="W61" s="723"/>
      <c r="X61" s="723"/>
      <c r="Y61" s="723"/>
      <c r="Z61" s="723"/>
      <c r="AE61" s="723" t="s">
        <v>360</v>
      </c>
      <c r="AF61" s="723"/>
      <c r="AG61" s="723"/>
      <c r="AH61" s="723"/>
      <c r="AI61" s="723"/>
      <c r="AJ61" s="723"/>
      <c r="AK61" s="723"/>
      <c r="AL61" s="108"/>
      <c r="AN61" s="723" t="s">
        <v>360</v>
      </c>
      <c r="AO61" s="723"/>
      <c r="AP61" s="723"/>
      <c r="AQ61" s="723"/>
      <c r="AR61" s="723"/>
      <c r="AS61" s="723"/>
      <c r="AT61" s="723"/>
    </row>
    <row r="62" spans="2:46" x14ac:dyDescent="0.25">
      <c r="B62" s="93"/>
      <c r="C62" s="93" t="s">
        <v>345</v>
      </c>
      <c r="D62" s="644">
        <v>939.45</v>
      </c>
      <c r="E62" s="94" t="s">
        <v>363</v>
      </c>
      <c r="F62" s="117" t="s">
        <v>205</v>
      </c>
      <c r="G62" s="644">
        <v>0.38</v>
      </c>
      <c r="H62" s="118" t="s">
        <v>364</v>
      </c>
      <c r="K62" s="93"/>
      <c r="L62" s="93" t="s">
        <v>345</v>
      </c>
      <c r="M62" s="636"/>
      <c r="N62" s="94" t="s">
        <v>363</v>
      </c>
      <c r="O62" s="117" t="s">
        <v>205</v>
      </c>
      <c r="P62" s="641"/>
      <c r="Q62" s="118" t="s">
        <v>364</v>
      </c>
      <c r="T62" s="93"/>
      <c r="U62" s="93" t="s">
        <v>345</v>
      </c>
      <c r="V62" s="28">
        <f>D62</f>
        <v>939.45</v>
      </c>
      <c r="W62" s="94" t="s">
        <v>363</v>
      </c>
      <c r="X62" s="117" t="s">
        <v>205</v>
      </c>
      <c r="Y62" s="28">
        <f>G62</f>
        <v>0.38</v>
      </c>
      <c r="Z62" s="118" t="s">
        <v>364</v>
      </c>
      <c r="AE62" s="93"/>
      <c r="AF62" s="93" t="s">
        <v>345</v>
      </c>
      <c r="AG62" s="146">
        <v>1000</v>
      </c>
      <c r="AH62" s="94" t="s">
        <v>363</v>
      </c>
      <c r="AI62" s="117" t="s">
        <v>205</v>
      </c>
      <c r="AJ62" s="147">
        <v>0.375</v>
      </c>
      <c r="AK62" s="118" t="s">
        <v>364</v>
      </c>
      <c r="AL62" s="108"/>
      <c r="AN62" s="93"/>
      <c r="AO62" s="93" t="s">
        <v>345</v>
      </c>
      <c r="AP62" s="428"/>
      <c r="AQ62" s="94" t="s">
        <v>363</v>
      </c>
      <c r="AR62" s="117" t="s">
        <v>205</v>
      </c>
      <c r="AS62" s="429"/>
      <c r="AT62" s="118" t="s">
        <v>364</v>
      </c>
    </row>
    <row r="63" spans="2:46" x14ac:dyDescent="0.25">
      <c r="B63" s="93"/>
      <c r="C63" s="93" t="s">
        <v>361</v>
      </c>
      <c r="D63" s="644">
        <v>30.52</v>
      </c>
      <c r="E63" s="94" t="s">
        <v>358</v>
      </c>
      <c r="F63" s="117" t="s">
        <v>205</v>
      </c>
      <c r="G63" s="644">
        <v>2.8</v>
      </c>
      <c r="H63" s="118" t="s">
        <v>365</v>
      </c>
      <c r="K63" s="93"/>
      <c r="L63" s="93" t="s">
        <v>361</v>
      </c>
      <c r="M63" s="636"/>
      <c r="N63" s="94" t="s">
        <v>358</v>
      </c>
      <c r="O63" s="117" t="s">
        <v>205</v>
      </c>
      <c r="P63" s="642"/>
      <c r="Q63" s="118" t="s">
        <v>365</v>
      </c>
      <c r="T63" s="93"/>
      <c r="U63" s="93" t="s">
        <v>361</v>
      </c>
      <c r="V63" s="28">
        <f>D63</f>
        <v>30.52</v>
      </c>
      <c r="W63" s="94" t="s">
        <v>358</v>
      </c>
      <c r="X63" s="117" t="s">
        <v>205</v>
      </c>
      <c r="Y63" s="28">
        <f>G63</f>
        <v>2.8</v>
      </c>
      <c r="Z63" s="118" t="s">
        <v>365</v>
      </c>
      <c r="AE63" s="93"/>
      <c r="AF63" s="93" t="s">
        <v>361</v>
      </c>
      <c r="AG63" s="146">
        <v>42.800000000000011</v>
      </c>
      <c r="AH63" s="94" t="s">
        <v>358</v>
      </c>
      <c r="AI63" s="117" t="s">
        <v>205</v>
      </c>
      <c r="AJ63" s="147">
        <v>2.8</v>
      </c>
      <c r="AK63" s="118" t="s">
        <v>365</v>
      </c>
      <c r="AL63" s="108"/>
      <c r="AN63" s="93"/>
      <c r="AO63" s="93" t="s">
        <v>361</v>
      </c>
      <c r="AP63" s="428"/>
      <c r="AQ63" s="94" t="s">
        <v>358</v>
      </c>
      <c r="AR63" s="117" t="s">
        <v>205</v>
      </c>
      <c r="AS63" s="429"/>
      <c r="AT63" s="118" t="s">
        <v>365</v>
      </c>
    </row>
    <row r="64" spans="2:46" x14ac:dyDescent="0.25">
      <c r="B64" s="93"/>
      <c r="C64" s="93" t="s">
        <v>362</v>
      </c>
      <c r="D64" s="644">
        <v>21.7</v>
      </c>
      <c r="E64" s="94" t="s">
        <v>358</v>
      </c>
      <c r="F64" s="117" t="s">
        <v>205</v>
      </c>
      <c r="G64" s="644">
        <v>0</v>
      </c>
      <c r="H64" s="118" t="s">
        <v>365</v>
      </c>
      <c r="K64" s="93"/>
      <c r="L64" s="93" t="s">
        <v>362</v>
      </c>
      <c r="M64" s="636"/>
      <c r="N64" s="94" t="s">
        <v>358</v>
      </c>
      <c r="O64" s="117" t="s">
        <v>205</v>
      </c>
      <c r="P64" s="641"/>
      <c r="Q64" s="118" t="s">
        <v>365</v>
      </c>
      <c r="T64" s="93"/>
      <c r="U64" s="93" t="s">
        <v>362</v>
      </c>
      <c r="V64" s="28">
        <f>D64</f>
        <v>21.7</v>
      </c>
      <c r="W64" s="94" t="s">
        <v>358</v>
      </c>
      <c r="X64" s="117" t="s">
        <v>205</v>
      </c>
      <c r="Y64" s="657">
        <f>G64</f>
        <v>0</v>
      </c>
      <c r="Z64" s="118" t="s">
        <v>365</v>
      </c>
      <c r="AE64" s="93"/>
      <c r="AF64" s="93" t="s">
        <v>362</v>
      </c>
      <c r="AG64" s="146">
        <v>10.08</v>
      </c>
      <c r="AH64" s="94" t="s">
        <v>358</v>
      </c>
      <c r="AI64" s="117" t="s">
        <v>205</v>
      </c>
      <c r="AJ64" s="147"/>
      <c r="AK64" s="118" t="s">
        <v>365</v>
      </c>
      <c r="AL64" s="108"/>
      <c r="AN64" s="93"/>
      <c r="AO64" s="93" t="s">
        <v>362</v>
      </c>
      <c r="AP64" s="428"/>
      <c r="AQ64" s="94" t="s">
        <v>358</v>
      </c>
      <c r="AR64" s="117" t="s">
        <v>205</v>
      </c>
      <c r="AS64" s="429"/>
      <c r="AT64" s="118" t="s">
        <v>365</v>
      </c>
    </row>
    <row r="65" spans="2:46" x14ac:dyDescent="0.25">
      <c r="B65" s="93" t="s">
        <v>30</v>
      </c>
      <c r="C65" s="634" t="s">
        <v>167</v>
      </c>
      <c r="D65" s="644"/>
      <c r="E65" s="94" t="s">
        <v>358</v>
      </c>
      <c r="F65" s="117" t="s">
        <v>205</v>
      </c>
      <c r="G65" s="644"/>
      <c r="H65" s="118" t="s">
        <v>365</v>
      </c>
      <c r="K65" s="93" t="s">
        <v>30</v>
      </c>
      <c r="L65" s="629" t="s">
        <v>167</v>
      </c>
      <c r="M65" s="636"/>
      <c r="N65" s="94" t="s">
        <v>358</v>
      </c>
      <c r="O65" s="117" t="s">
        <v>205</v>
      </c>
      <c r="P65" s="641"/>
      <c r="Q65" s="118" t="s">
        <v>365</v>
      </c>
      <c r="T65" s="93" t="s">
        <v>30</v>
      </c>
      <c r="U65" s="28" t="s">
        <v>167</v>
      </c>
      <c r="V65" s="28">
        <f>D65</f>
        <v>0</v>
      </c>
      <c r="W65" s="94" t="s">
        <v>358</v>
      </c>
      <c r="X65" s="117" t="s">
        <v>205</v>
      </c>
      <c r="Y65" s="657">
        <f>G65</f>
        <v>0</v>
      </c>
      <c r="Z65" s="118" t="s">
        <v>365</v>
      </c>
      <c r="AE65" s="93" t="s">
        <v>30</v>
      </c>
      <c r="AF65" s="28" t="s">
        <v>167</v>
      </c>
      <c r="AG65" s="146">
        <v>0</v>
      </c>
      <c r="AH65" s="94" t="s">
        <v>358</v>
      </c>
      <c r="AI65" s="117" t="s">
        <v>205</v>
      </c>
      <c r="AJ65" s="147"/>
      <c r="AK65" s="118" t="s">
        <v>365</v>
      </c>
      <c r="AL65" s="108"/>
      <c r="AN65" s="93" t="s">
        <v>30</v>
      </c>
      <c r="AO65" s="28" t="s">
        <v>167</v>
      </c>
      <c r="AP65" s="428"/>
      <c r="AQ65" s="94" t="s">
        <v>358</v>
      </c>
      <c r="AR65" s="117" t="s">
        <v>205</v>
      </c>
      <c r="AS65" s="429"/>
      <c r="AT65" s="118" t="s">
        <v>365</v>
      </c>
    </row>
    <row r="66" spans="2:46" x14ac:dyDescent="0.25">
      <c r="B66" s="93" t="s">
        <v>30</v>
      </c>
      <c r="C66" s="634" t="s">
        <v>167</v>
      </c>
      <c r="D66" s="644"/>
      <c r="E66" s="94" t="s">
        <v>358</v>
      </c>
      <c r="F66" s="117" t="s">
        <v>205</v>
      </c>
      <c r="G66" s="644"/>
      <c r="H66" s="118" t="s">
        <v>365</v>
      </c>
      <c r="K66" s="93" t="s">
        <v>30</v>
      </c>
      <c r="L66" s="629" t="s">
        <v>167</v>
      </c>
      <c r="M66" s="636"/>
      <c r="N66" s="94" t="s">
        <v>358</v>
      </c>
      <c r="O66" s="117" t="s">
        <v>205</v>
      </c>
      <c r="P66" s="641"/>
      <c r="Q66" s="118" t="s">
        <v>365</v>
      </c>
      <c r="T66" s="93" t="s">
        <v>30</v>
      </c>
      <c r="U66" s="28" t="s">
        <v>167</v>
      </c>
      <c r="V66" s="28">
        <f>D66</f>
        <v>0</v>
      </c>
      <c r="W66" s="94" t="s">
        <v>358</v>
      </c>
      <c r="X66" s="117" t="s">
        <v>205</v>
      </c>
      <c r="Y66" s="28">
        <f>G66</f>
        <v>0</v>
      </c>
      <c r="Z66" s="118" t="s">
        <v>365</v>
      </c>
      <c r="AE66" s="93" t="s">
        <v>30</v>
      </c>
      <c r="AF66" s="28" t="s">
        <v>167</v>
      </c>
      <c r="AG66" s="146">
        <v>0</v>
      </c>
      <c r="AH66" s="94" t="s">
        <v>358</v>
      </c>
      <c r="AI66" s="117" t="s">
        <v>205</v>
      </c>
      <c r="AJ66" s="147"/>
      <c r="AK66" s="118" t="s">
        <v>365</v>
      </c>
      <c r="AL66" s="108"/>
      <c r="AN66" s="93" t="s">
        <v>30</v>
      </c>
      <c r="AO66" s="28" t="s">
        <v>167</v>
      </c>
      <c r="AP66" s="428"/>
      <c r="AQ66" s="94" t="s">
        <v>358</v>
      </c>
      <c r="AR66" s="117" t="s">
        <v>205</v>
      </c>
      <c r="AS66" s="429"/>
      <c r="AT66" s="118" t="s">
        <v>365</v>
      </c>
    </row>
    <row r="67" spans="2:46" ht="6" customHeight="1" x14ac:dyDescent="0.25">
      <c r="B67" s="25"/>
      <c r="C67" s="25"/>
      <c r="D67" s="25"/>
      <c r="E67" s="25"/>
      <c r="F67" s="25"/>
      <c r="G67" s="25"/>
      <c r="H67" s="25"/>
      <c r="K67" s="25"/>
      <c r="L67" s="25"/>
      <c r="M67" s="25"/>
      <c r="N67" s="25"/>
      <c r="O67" s="25"/>
      <c r="P67" s="25"/>
      <c r="Q67" s="25"/>
      <c r="T67" s="25"/>
      <c r="U67" s="25"/>
      <c r="V67" s="25"/>
      <c r="W67" s="25"/>
      <c r="X67" s="25"/>
      <c r="Y67" s="27"/>
      <c r="Z67" s="25"/>
      <c r="AE67" s="25"/>
      <c r="AF67" s="25"/>
      <c r="AG67" s="25"/>
      <c r="AH67" s="25"/>
      <c r="AI67" s="25"/>
      <c r="AJ67" s="27"/>
      <c r="AK67" s="25"/>
      <c r="AL67" s="108"/>
      <c r="AN67" s="25"/>
      <c r="AO67" s="25"/>
      <c r="AP67" s="25"/>
      <c r="AQ67" s="25"/>
      <c r="AR67" s="25"/>
      <c r="AS67" s="27"/>
      <c r="AT67" s="25"/>
    </row>
    <row r="68" spans="2:46" ht="15.75" x14ac:dyDescent="0.25">
      <c r="B68" s="723" t="s">
        <v>243</v>
      </c>
      <c r="C68" s="723"/>
      <c r="D68" s="723"/>
      <c r="E68" s="723"/>
      <c r="F68" s="723"/>
      <c r="G68" s="723"/>
      <c r="H68" s="723"/>
      <c r="K68" s="723" t="s">
        <v>243</v>
      </c>
      <c r="L68" s="723"/>
      <c r="M68" s="723"/>
      <c r="N68" s="723"/>
      <c r="O68" s="723"/>
      <c r="P68" s="723"/>
      <c r="Q68" s="723"/>
      <c r="T68" s="723" t="s">
        <v>243</v>
      </c>
      <c r="U68" s="723"/>
      <c r="V68" s="723"/>
      <c r="W68" s="723"/>
      <c r="X68" s="723"/>
      <c r="Y68" s="723"/>
      <c r="Z68" s="723"/>
      <c r="AE68" s="723" t="s">
        <v>243</v>
      </c>
      <c r="AF68" s="723"/>
      <c r="AG68" s="723"/>
      <c r="AH68" s="723"/>
      <c r="AI68" s="723"/>
      <c r="AJ68" s="723"/>
      <c r="AK68" s="723"/>
      <c r="AL68" s="108"/>
      <c r="AN68" s="723" t="s">
        <v>243</v>
      </c>
      <c r="AO68" s="723"/>
      <c r="AP68" s="723"/>
      <c r="AQ68" s="723"/>
      <c r="AR68" s="723"/>
      <c r="AS68" s="723"/>
      <c r="AT68" s="723"/>
    </row>
    <row r="69" spans="2:46" x14ac:dyDescent="0.25">
      <c r="B69" s="25"/>
      <c r="C69" s="93" t="s">
        <v>366</v>
      </c>
      <c r="D69" s="644"/>
      <c r="E69" s="94" t="s">
        <v>363</v>
      </c>
      <c r="F69" s="27"/>
      <c r="G69" s="27"/>
      <c r="H69" s="73"/>
      <c r="K69" s="25"/>
      <c r="L69" s="93" t="s">
        <v>366</v>
      </c>
      <c r="M69" s="639"/>
      <c r="N69" s="94" t="s">
        <v>363</v>
      </c>
      <c r="O69" s="27"/>
      <c r="P69" s="27"/>
      <c r="Q69" s="73"/>
      <c r="T69" s="25"/>
      <c r="U69" s="93" t="s">
        <v>366</v>
      </c>
      <c r="V69" s="28">
        <f t="shared" ref="V69:V83" si="1">D69</f>
        <v>0</v>
      </c>
      <c r="W69" s="94" t="s">
        <v>363</v>
      </c>
      <c r="X69" s="27"/>
      <c r="Y69" s="27"/>
      <c r="Z69" s="73"/>
      <c r="AE69" s="25"/>
      <c r="AF69" s="93" t="s">
        <v>366</v>
      </c>
      <c r="AG69" s="581">
        <v>0</v>
      </c>
      <c r="AH69" s="94" t="s">
        <v>363</v>
      </c>
      <c r="AI69" s="27"/>
      <c r="AJ69" s="27"/>
      <c r="AK69" s="73"/>
      <c r="AL69" s="108"/>
      <c r="AN69" s="25"/>
      <c r="AO69" s="93" t="s">
        <v>366</v>
      </c>
      <c r="AP69" s="582"/>
      <c r="AQ69" s="94" t="s">
        <v>363</v>
      </c>
      <c r="AR69" s="27"/>
      <c r="AS69" s="27"/>
      <c r="AT69" s="73"/>
    </row>
    <row r="70" spans="2:46" x14ac:dyDescent="0.25">
      <c r="B70" s="25"/>
      <c r="C70" s="93" t="s">
        <v>367</v>
      </c>
      <c r="D70" s="644">
        <v>3.36</v>
      </c>
      <c r="E70" s="94" t="s">
        <v>363</v>
      </c>
      <c r="F70" s="27"/>
      <c r="G70" s="27"/>
      <c r="H70" s="73"/>
      <c r="K70" s="25"/>
      <c r="L70" s="93" t="s">
        <v>367</v>
      </c>
      <c r="M70" s="639"/>
      <c r="N70" s="94" t="s">
        <v>363</v>
      </c>
      <c r="O70" s="27"/>
      <c r="P70" s="27"/>
      <c r="Q70" s="73"/>
      <c r="T70" s="25"/>
      <c r="U70" s="93" t="s">
        <v>367</v>
      </c>
      <c r="V70" s="28">
        <f t="shared" si="1"/>
        <v>3.36</v>
      </c>
      <c r="W70" s="94" t="s">
        <v>363</v>
      </c>
      <c r="X70" s="27"/>
      <c r="Y70" s="27"/>
      <c r="Z70" s="73"/>
      <c r="AE70" s="25"/>
      <c r="AF70" s="93" t="s">
        <v>367</v>
      </c>
      <c r="AG70" s="581">
        <v>6</v>
      </c>
      <c r="AH70" s="94" t="s">
        <v>363</v>
      </c>
      <c r="AI70" s="27"/>
      <c r="AJ70" s="27"/>
      <c r="AK70" s="73"/>
      <c r="AL70" s="108"/>
      <c r="AN70" s="25"/>
      <c r="AO70" s="93" t="s">
        <v>367</v>
      </c>
      <c r="AP70" s="582"/>
      <c r="AQ70" s="94" t="s">
        <v>363</v>
      </c>
      <c r="AR70" s="27"/>
      <c r="AS70" s="27"/>
      <c r="AT70" s="73"/>
    </row>
    <row r="71" spans="2:46" ht="25.5" x14ac:dyDescent="0.25">
      <c r="B71" s="25"/>
      <c r="C71" s="93" t="s">
        <v>368</v>
      </c>
      <c r="D71" s="644"/>
      <c r="E71" s="94" t="s">
        <v>363</v>
      </c>
      <c r="F71" s="141" t="s">
        <v>379</v>
      </c>
      <c r="G71" s="670"/>
      <c r="H71" s="118"/>
      <c r="K71" s="25"/>
      <c r="L71" s="93" t="s">
        <v>368</v>
      </c>
      <c r="M71" s="636"/>
      <c r="N71" s="94" t="s">
        <v>363</v>
      </c>
      <c r="O71" s="141" t="s">
        <v>379</v>
      </c>
      <c r="P71" s="645">
        <v>0.11</v>
      </c>
      <c r="Q71" s="118"/>
      <c r="T71" s="25"/>
      <c r="U71" s="93" t="s">
        <v>368</v>
      </c>
      <c r="V71" s="28">
        <f t="shared" si="1"/>
        <v>0</v>
      </c>
      <c r="W71" s="94" t="s">
        <v>363</v>
      </c>
      <c r="X71" s="141" t="s">
        <v>380</v>
      </c>
      <c r="Y71" s="28">
        <f>G71</f>
        <v>0</v>
      </c>
      <c r="Z71" s="118" t="s">
        <v>59</v>
      </c>
      <c r="AE71" s="25"/>
      <c r="AF71" s="93" t="s">
        <v>368</v>
      </c>
      <c r="AG71" s="145">
        <v>0</v>
      </c>
      <c r="AH71" s="94" t="s">
        <v>363</v>
      </c>
      <c r="AI71" s="141" t="s">
        <v>380</v>
      </c>
      <c r="AJ71" s="148">
        <v>0.11</v>
      </c>
      <c r="AK71" s="118" t="s">
        <v>59</v>
      </c>
      <c r="AL71" s="108"/>
      <c r="AN71" s="25"/>
      <c r="AO71" s="93" t="s">
        <v>368</v>
      </c>
      <c r="AP71" s="427"/>
      <c r="AQ71" s="94" t="s">
        <v>363</v>
      </c>
      <c r="AR71" s="141" t="s">
        <v>380</v>
      </c>
      <c r="AS71" s="430">
        <v>0.11</v>
      </c>
      <c r="AT71" s="118" t="s">
        <v>59</v>
      </c>
    </row>
    <row r="72" spans="2:46" x14ac:dyDescent="0.25">
      <c r="B72" s="25"/>
      <c r="C72" s="93" t="s">
        <v>369</v>
      </c>
      <c r="D72" s="644"/>
      <c r="E72" s="94" t="s">
        <v>363</v>
      </c>
      <c r="F72" s="27"/>
      <c r="G72" s="27"/>
      <c r="H72" s="73"/>
      <c r="K72" s="25"/>
      <c r="L72" s="93" t="s">
        <v>369</v>
      </c>
      <c r="M72" s="636"/>
      <c r="N72" s="94" t="s">
        <v>363</v>
      </c>
      <c r="O72" s="27"/>
      <c r="P72" s="27"/>
      <c r="Q72" s="73"/>
      <c r="T72" s="25"/>
      <c r="U72" s="93" t="s">
        <v>369</v>
      </c>
      <c r="V72" s="28">
        <f t="shared" si="1"/>
        <v>0</v>
      </c>
      <c r="W72" s="94" t="s">
        <v>363</v>
      </c>
      <c r="X72" s="27"/>
      <c r="Y72" s="27"/>
      <c r="Z72" s="73"/>
      <c r="AE72" s="25"/>
      <c r="AF72" s="93" t="s">
        <v>369</v>
      </c>
      <c r="AG72" s="145">
        <v>0</v>
      </c>
      <c r="AH72" s="94" t="s">
        <v>363</v>
      </c>
      <c r="AI72" s="27"/>
      <c r="AJ72" s="27"/>
      <c r="AK72" s="73"/>
      <c r="AL72" s="108"/>
      <c r="AN72" s="25"/>
      <c r="AO72" s="93" t="s">
        <v>369</v>
      </c>
      <c r="AP72" s="427"/>
      <c r="AQ72" s="94" t="s">
        <v>363</v>
      </c>
      <c r="AR72" s="27"/>
      <c r="AS72" s="27"/>
      <c r="AT72" s="73"/>
    </row>
    <row r="73" spans="2:46" x14ac:dyDescent="0.25">
      <c r="B73" s="25"/>
      <c r="C73" s="93" t="s">
        <v>370</v>
      </c>
      <c r="D73" s="644"/>
      <c r="E73" s="94" t="s">
        <v>363</v>
      </c>
      <c r="F73" s="27"/>
      <c r="G73" s="27"/>
      <c r="H73" s="73"/>
      <c r="K73" s="25"/>
      <c r="L73" s="93" t="s">
        <v>370</v>
      </c>
      <c r="M73" s="636"/>
      <c r="N73" s="94" t="s">
        <v>363</v>
      </c>
      <c r="O73" s="27"/>
      <c r="P73" s="27"/>
      <c r="Q73" s="73"/>
      <c r="T73" s="25"/>
      <c r="U73" s="93" t="s">
        <v>370</v>
      </c>
      <c r="V73" s="28">
        <f t="shared" si="1"/>
        <v>0</v>
      </c>
      <c r="W73" s="94" t="s">
        <v>363</v>
      </c>
      <c r="X73" s="27"/>
      <c r="Y73" s="27"/>
      <c r="Z73" s="73"/>
      <c r="AE73" s="25"/>
      <c r="AF73" s="93" t="s">
        <v>370</v>
      </c>
      <c r="AG73" s="145">
        <v>0</v>
      </c>
      <c r="AH73" s="94" t="s">
        <v>363</v>
      </c>
      <c r="AI73" s="27"/>
      <c r="AJ73" s="27"/>
      <c r="AK73" s="73"/>
      <c r="AL73" s="108"/>
      <c r="AN73" s="25"/>
      <c r="AO73" s="93" t="s">
        <v>370</v>
      </c>
      <c r="AP73" s="427"/>
      <c r="AQ73" s="94" t="s">
        <v>363</v>
      </c>
      <c r="AR73" s="27"/>
      <c r="AS73" s="27"/>
      <c r="AT73" s="73"/>
    </row>
    <row r="74" spans="2:46" x14ac:dyDescent="0.25">
      <c r="B74" s="25"/>
      <c r="C74" s="93" t="s">
        <v>371</v>
      </c>
      <c r="D74" s="644"/>
      <c r="E74" s="94" t="s">
        <v>363</v>
      </c>
      <c r="F74" s="27"/>
      <c r="G74" s="27"/>
      <c r="H74" s="73"/>
      <c r="K74" s="25"/>
      <c r="L74" s="93" t="s">
        <v>371</v>
      </c>
      <c r="M74" s="636"/>
      <c r="N74" s="94" t="s">
        <v>363</v>
      </c>
      <c r="O74" s="27"/>
      <c r="P74" s="27"/>
      <c r="Q74" s="73"/>
      <c r="T74" s="25"/>
      <c r="U74" s="93" t="s">
        <v>371</v>
      </c>
      <c r="V74" s="28">
        <f t="shared" si="1"/>
        <v>0</v>
      </c>
      <c r="W74" s="94" t="s">
        <v>363</v>
      </c>
      <c r="X74" s="27"/>
      <c r="Y74" s="27"/>
      <c r="Z74" s="73"/>
      <c r="AE74" s="25"/>
      <c r="AF74" s="93" t="s">
        <v>371</v>
      </c>
      <c r="AG74" s="145">
        <v>0</v>
      </c>
      <c r="AH74" s="94" t="s">
        <v>363</v>
      </c>
      <c r="AI74" s="27"/>
      <c r="AJ74" s="27"/>
      <c r="AK74" s="73"/>
      <c r="AL74" s="108"/>
      <c r="AN74" s="25"/>
      <c r="AO74" s="93" t="s">
        <v>371</v>
      </c>
      <c r="AP74" s="427"/>
      <c r="AQ74" s="94" t="s">
        <v>363</v>
      </c>
      <c r="AR74" s="27"/>
      <c r="AS74" s="27"/>
      <c r="AT74" s="73"/>
    </row>
    <row r="75" spans="2:46" x14ac:dyDescent="0.25">
      <c r="B75" s="25"/>
      <c r="C75" s="93" t="s">
        <v>467</v>
      </c>
      <c r="D75" s="644"/>
      <c r="E75" s="94" t="s">
        <v>363</v>
      </c>
      <c r="F75" s="27"/>
      <c r="G75" s="27"/>
      <c r="H75" s="73"/>
      <c r="K75" s="25"/>
      <c r="L75" s="93" t="s">
        <v>467</v>
      </c>
      <c r="M75" s="636"/>
      <c r="N75" s="94" t="s">
        <v>363</v>
      </c>
      <c r="O75" s="27"/>
      <c r="P75" s="27"/>
      <c r="Q75" s="73"/>
      <c r="T75" s="25"/>
      <c r="U75" s="93" t="s">
        <v>467</v>
      </c>
      <c r="V75" s="28">
        <f t="shared" si="1"/>
        <v>0</v>
      </c>
      <c r="W75" s="94" t="s">
        <v>363</v>
      </c>
      <c r="X75" s="27"/>
      <c r="Y75" s="27"/>
      <c r="Z75" s="73"/>
      <c r="AE75" s="25"/>
      <c r="AF75" s="93" t="s">
        <v>467</v>
      </c>
      <c r="AG75" s="145">
        <v>0</v>
      </c>
      <c r="AH75" s="94" t="s">
        <v>363</v>
      </c>
      <c r="AI75" s="27"/>
      <c r="AJ75" s="27"/>
      <c r="AK75" s="73"/>
      <c r="AL75" s="108"/>
      <c r="AN75" s="25"/>
      <c r="AO75" s="93" t="s">
        <v>467</v>
      </c>
      <c r="AP75" s="427"/>
      <c r="AQ75" s="94" t="s">
        <v>363</v>
      </c>
      <c r="AR75" s="27"/>
      <c r="AS75" s="27"/>
      <c r="AT75" s="73"/>
    </row>
    <row r="76" spans="2:46" x14ac:dyDescent="0.25">
      <c r="B76" s="25"/>
      <c r="C76" s="93" t="s">
        <v>46</v>
      </c>
      <c r="D76" s="644">
        <v>0.28999999999999998</v>
      </c>
      <c r="E76" s="94" t="s">
        <v>363</v>
      </c>
      <c r="F76" s="27"/>
      <c r="G76" s="27"/>
      <c r="H76" s="73"/>
      <c r="K76" s="25"/>
      <c r="L76" s="93" t="s">
        <v>46</v>
      </c>
      <c r="M76" s="636"/>
      <c r="N76" s="94" t="s">
        <v>363</v>
      </c>
      <c r="O76" s="27"/>
      <c r="P76" s="27"/>
      <c r="Q76" s="73"/>
      <c r="T76" s="25"/>
      <c r="U76" s="93" t="s">
        <v>46</v>
      </c>
      <c r="V76" s="28">
        <f t="shared" si="1"/>
        <v>0.28999999999999998</v>
      </c>
      <c r="W76" s="94" t="s">
        <v>363</v>
      </c>
      <c r="X76" s="27"/>
      <c r="Y76" s="27"/>
      <c r="Z76" s="73"/>
      <c r="AE76" s="25"/>
      <c r="AF76" s="93" t="s">
        <v>46</v>
      </c>
      <c r="AG76" s="145">
        <v>0</v>
      </c>
      <c r="AH76" s="94" t="s">
        <v>363</v>
      </c>
      <c r="AI76" s="27"/>
      <c r="AJ76" s="27"/>
      <c r="AK76" s="73"/>
      <c r="AL76" s="108"/>
      <c r="AN76" s="25"/>
      <c r="AO76" s="93" t="s">
        <v>46</v>
      </c>
      <c r="AP76" s="427"/>
      <c r="AQ76" s="94" t="s">
        <v>363</v>
      </c>
      <c r="AR76" s="27"/>
      <c r="AS76" s="27"/>
      <c r="AT76" s="73"/>
    </row>
    <row r="77" spans="2:46" x14ac:dyDescent="0.25">
      <c r="B77" s="25"/>
      <c r="C77" s="93" t="s">
        <v>468</v>
      </c>
      <c r="D77" s="644"/>
      <c r="E77" s="94" t="s">
        <v>378</v>
      </c>
      <c r="F77" s="27"/>
      <c r="G77" s="27"/>
      <c r="H77" s="73"/>
      <c r="K77" s="25"/>
      <c r="L77" s="93" t="s">
        <v>468</v>
      </c>
      <c r="M77" s="636"/>
      <c r="N77" s="94" t="s">
        <v>378</v>
      </c>
      <c r="O77" s="27"/>
      <c r="P77" s="27"/>
      <c r="Q77" s="73"/>
      <c r="T77" s="25"/>
      <c r="U77" s="93" t="s">
        <v>468</v>
      </c>
      <c r="V77" s="28">
        <f t="shared" si="1"/>
        <v>0</v>
      </c>
      <c r="W77" s="94" t="s">
        <v>378</v>
      </c>
      <c r="X77" s="27"/>
      <c r="Y77" s="39"/>
      <c r="Z77" s="73"/>
      <c r="AE77" s="25"/>
      <c r="AF77" s="93" t="s">
        <v>468</v>
      </c>
      <c r="AG77" s="145">
        <v>0</v>
      </c>
      <c r="AH77" s="94" t="s">
        <v>378</v>
      </c>
      <c r="AI77" s="27"/>
      <c r="AJ77" s="39"/>
      <c r="AK77" s="73"/>
      <c r="AL77" s="108"/>
      <c r="AN77" s="25"/>
      <c r="AO77" s="93" t="s">
        <v>468</v>
      </c>
      <c r="AP77" s="427"/>
      <c r="AQ77" s="94" t="s">
        <v>378</v>
      </c>
      <c r="AR77" s="27"/>
      <c r="AS77" s="39"/>
      <c r="AT77" s="73"/>
    </row>
    <row r="78" spans="2:46" x14ac:dyDescent="0.25">
      <c r="B78" s="25"/>
      <c r="C78" s="93" t="s">
        <v>469</v>
      </c>
      <c r="D78" s="644"/>
      <c r="E78" s="94" t="s">
        <v>378</v>
      </c>
      <c r="F78" s="27"/>
      <c r="G78" s="27"/>
      <c r="H78" s="73"/>
      <c r="K78" s="25"/>
      <c r="L78" s="93" t="s">
        <v>469</v>
      </c>
      <c r="M78" s="636"/>
      <c r="N78" s="94" t="s">
        <v>378</v>
      </c>
      <c r="O78" s="27"/>
      <c r="P78" s="27"/>
      <c r="Q78" s="73"/>
      <c r="T78" s="25"/>
      <c r="U78" s="93" t="s">
        <v>469</v>
      </c>
      <c r="V78" s="28">
        <f t="shared" si="1"/>
        <v>0</v>
      </c>
      <c r="W78" s="94" t="s">
        <v>378</v>
      </c>
      <c r="X78" s="27"/>
      <c r="Y78" s="39"/>
      <c r="Z78" s="73"/>
      <c r="AE78" s="25"/>
      <c r="AF78" s="93" t="s">
        <v>469</v>
      </c>
      <c r="AG78" s="145">
        <v>0</v>
      </c>
      <c r="AH78" s="94" t="s">
        <v>378</v>
      </c>
      <c r="AI78" s="27"/>
      <c r="AJ78" s="39"/>
      <c r="AK78" s="73"/>
      <c r="AL78" s="108"/>
      <c r="AN78" s="25"/>
      <c r="AO78" s="93" t="s">
        <v>469</v>
      </c>
      <c r="AP78" s="427"/>
      <c r="AQ78" s="94" t="s">
        <v>378</v>
      </c>
      <c r="AR78" s="27"/>
      <c r="AS78" s="39"/>
      <c r="AT78" s="73"/>
    </row>
    <row r="79" spans="2:46" x14ac:dyDescent="0.25">
      <c r="B79" s="25"/>
      <c r="C79" s="93" t="s">
        <v>376</v>
      </c>
      <c r="D79" s="644">
        <v>4.13</v>
      </c>
      <c r="E79" s="94" t="s">
        <v>377</v>
      </c>
      <c r="F79" s="27"/>
      <c r="G79" s="27"/>
      <c r="H79" s="73"/>
      <c r="K79" s="25"/>
      <c r="L79" s="93" t="s">
        <v>376</v>
      </c>
      <c r="M79" s="636"/>
      <c r="N79" s="94" t="s">
        <v>377</v>
      </c>
      <c r="O79" s="27"/>
      <c r="P79" s="27"/>
      <c r="Q79" s="73"/>
      <c r="T79" s="25"/>
      <c r="U79" s="93" t="s">
        <v>376</v>
      </c>
      <c r="V79" s="28">
        <f t="shared" si="1"/>
        <v>4.13</v>
      </c>
      <c r="W79" s="94" t="s">
        <v>377</v>
      </c>
      <c r="X79" s="27"/>
      <c r="Y79" s="39"/>
      <c r="Z79" s="73"/>
      <c r="AE79" s="25"/>
      <c r="AF79" s="93" t="s">
        <v>376</v>
      </c>
      <c r="AG79" s="145">
        <v>0</v>
      </c>
      <c r="AH79" s="94" t="s">
        <v>377</v>
      </c>
      <c r="AI79" s="27"/>
      <c r="AJ79" s="39"/>
      <c r="AK79" s="73"/>
      <c r="AL79" s="108"/>
      <c r="AN79" s="25"/>
      <c r="AO79" s="93" t="s">
        <v>376</v>
      </c>
      <c r="AP79" s="427"/>
      <c r="AQ79" s="94" t="s">
        <v>377</v>
      </c>
      <c r="AR79" s="27"/>
      <c r="AS79" s="39"/>
      <c r="AT79" s="73"/>
    </row>
    <row r="80" spans="2:46" x14ac:dyDescent="0.25">
      <c r="B80" s="25"/>
      <c r="C80" s="93" t="s">
        <v>375</v>
      </c>
      <c r="D80" s="644"/>
      <c r="E80" s="94" t="s">
        <v>377</v>
      </c>
      <c r="F80" s="27"/>
      <c r="G80" s="27"/>
      <c r="H80" s="73"/>
      <c r="K80" s="25"/>
      <c r="L80" s="93" t="s">
        <v>375</v>
      </c>
      <c r="M80" s="636"/>
      <c r="N80" s="94" t="s">
        <v>377</v>
      </c>
      <c r="O80" s="27"/>
      <c r="P80" s="27"/>
      <c r="Q80" s="73"/>
      <c r="T80" s="25"/>
      <c r="U80" s="93" t="s">
        <v>375</v>
      </c>
      <c r="V80" s="28">
        <f t="shared" si="1"/>
        <v>0</v>
      </c>
      <c r="W80" s="94" t="s">
        <v>377</v>
      </c>
      <c r="X80" s="27"/>
      <c r="Y80" s="39"/>
      <c r="Z80" s="73"/>
      <c r="AE80" s="25"/>
      <c r="AF80" s="93" t="s">
        <v>375</v>
      </c>
      <c r="AG80" s="145">
        <v>0</v>
      </c>
      <c r="AH80" s="94" t="s">
        <v>377</v>
      </c>
      <c r="AI80" s="27"/>
      <c r="AJ80" s="39"/>
      <c r="AK80" s="73"/>
      <c r="AL80" s="108"/>
      <c r="AN80" s="25"/>
      <c r="AO80" s="93" t="s">
        <v>375</v>
      </c>
      <c r="AP80" s="427"/>
      <c r="AQ80" s="94" t="s">
        <v>377</v>
      </c>
      <c r="AR80" s="27"/>
      <c r="AS80" s="39"/>
      <c r="AT80" s="73"/>
    </row>
    <row r="81" spans="2:46" x14ac:dyDescent="0.25">
      <c r="B81" s="25"/>
      <c r="C81" s="93" t="s">
        <v>372</v>
      </c>
      <c r="D81" s="644"/>
      <c r="E81" s="94" t="s">
        <v>377</v>
      </c>
      <c r="F81" s="27"/>
      <c r="G81" s="39"/>
      <c r="H81" s="73"/>
      <c r="K81" s="25"/>
      <c r="L81" s="93" t="s">
        <v>372</v>
      </c>
      <c r="M81" s="636"/>
      <c r="N81" s="94" t="s">
        <v>377</v>
      </c>
      <c r="O81" s="27"/>
      <c r="P81" s="39"/>
      <c r="Q81" s="73"/>
      <c r="T81" s="25"/>
      <c r="U81" s="93" t="s">
        <v>372</v>
      </c>
      <c r="V81" s="28">
        <f t="shared" si="1"/>
        <v>0</v>
      </c>
      <c r="W81" s="94" t="s">
        <v>377</v>
      </c>
      <c r="X81" s="27"/>
      <c r="Y81" s="39"/>
      <c r="Z81" s="73"/>
      <c r="AE81" s="25"/>
      <c r="AF81" s="93" t="s">
        <v>372</v>
      </c>
      <c r="AG81" s="145">
        <v>0</v>
      </c>
      <c r="AH81" s="94" t="s">
        <v>377</v>
      </c>
      <c r="AI81" s="27"/>
      <c r="AJ81" s="39"/>
      <c r="AK81" s="73"/>
      <c r="AL81" s="108"/>
      <c r="AN81" s="25"/>
      <c r="AO81" s="93" t="s">
        <v>372</v>
      </c>
      <c r="AP81" s="427"/>
      <c r="AQ81" s="94" t="s">
        <v>377</v>
      </c>
      <c r="AR81" s="27"/>
      <c r="AS81" s="39"/>
      <c r="AT81" s="73"/>
    </row>
    <row r="82" spans="2:46" x14ac:dyDescent="0.25">
      <c r="B82" s="25"/>
      <c r="C82" s="93" t="s">
        <v>373</v>
      </c>
      <c r="D82" s="644"/>
      <c r="E82" s="94" t="s">
        <v>377</v>
      </c>
      <c r="F82" s="27"/>
      <c r="G82" s="39"/>
      <c r="H82" s="73"/>
      <c r="K82" s="25"/>
      <c r="L82" s="93" t="s">
        <v>373</v>
      </c>
      <c r="M82" s="636"/>
      <c r="N82" s="94" t="s">
        <v>377</v>
      </c>
      <c r="O82" s="27"/>
      <c r="P82" s="39"/>
      <c r="Q82" s="73"/>
      <c r="T82" s="25"/>
      <c r="U82" s="93" t="s">
        <v>373</v>
      </c>
      <c r="V82" s="28">
        <f t="shared" si="1"/>
        <v>0</v>
      </c>
      <c r="W82" s="94" t="s">
        <v>377</v>
      </c>
      <c r="X82" s="27"/>
      <c r="Y82" s="39"/>
      <c r="Z82" s="73"/>
      <c r="AE82" s="25"/>
      <c r="AF82" s="93" t="s">
        <v>373</v>
      </c>
      <c r="AG82" s="145">
        <v>0</v>
      </c>
      <c r="AH82" s="94" t="s">
        <v>377</v>
      </c>
      <c r="AI82" s="27"/>
      <c r="AJ82" s="39"/>
      <c r="AK82" s="73"/>
      <c r="AL82" s="108"/>
      <c r="AN82" s="25"/>
      <c r="AO82" s="93" t="s">
        <v>373</v>
      </c>
      <c r="AP82" s="427"/>
      <c r="AQ82" s="94" t="s">
        <v>377</v>
      </c>
      <c r="AR82" s="27"/>
      <c r="AS82" s="39"/>
      <c r="AT82" s="73"/>
    </row>
    <row r="83" spans="2:46" x14ac:dyDescent="0.25">
      <c r="B83" s="25"/>
      <c r="C83" s="93" t="s">
        <v>374</v>
      </c>
      <c r="D83" s="644"/>
      <c r="E83" s="94" t="s">
        <v>377</v>
      </c>
      <c r="F83" s="27"/>
      <c r="G83" s="39"/>
      <c r="H83" s="73"/>
      <c r="K83" s="25"/>
      <c r="L83" s="93" t="s">
        <v>374</v>
      </c>
      <c r="M83" s="636"/>
      <c r="N83" s="94" t="s">
        <v>377</v>
      </c>
      <c r="O83" s="27"/>
      <c r="P83" s="39"/>
      <c r="Q83" s="73"/>
      <c r="T83" s="25"/>
      <c r="U83" s="93" t="s">
        <v>374</v>
      </c>
      <c r="V83" s="28">
        <f t="shared" si="1"/>
        <v>0</v>
      </c>
      <c r="W83" s="94" t="s">
        <v>377</v>
      </c>
      <c r="X83" s="27"/>
      <c r="Y83" s="39"/>
      <c r="Z83" s="73"/>
      <c r="AE83" s="25"/>
      <c r="AF83" s="93" t="s">
        <v>374</v>
      </c>
      <c r="AG83" s="145">
        <v>0</v>
      </c>
      <c r="AH83" s="94" t="s">
        <v>377</v>
      </c>
      <c r="AI83" s="27"/>
      <c r="AJ83" s="39"/>
      <c r="AK83" s="73"/>
      <c r="AL83" s="108"/>
      <c r="AN83" s="25"/>
      <c r="AO83" s="93" t="s">
        <v>374</v>
      </c>
      <c r="AP83" s="427"/>
      <c r="AQ83" s="94" t="s">
        <v>377</v>
      </c>
      <c r="AR83" s="27"/>
      <c r="AS83" s="39"/>
      <c r="AT83" s="73"/>
    </row>
    <row r="84" spans="2:46" ht="6" customHeight="1" x14ac:dyDescent="0.25">
      <c r="B84" s="25"/>
      <c r="C84" s="25"/>
      <c r="D84" s="25"/>
      <c r="E84" s="25"/>
      <c r="F84" s="25"/>
      <c r="G84" s="25"/>
      <c r="H84" s="25"/>
      <c r="K84" s="25"/>
      <c r="L84" s="25"/>
      <c r="M84" s="25"/>
      <c r="N84" s="25"/>
      <c r="O84" s="25"/>
      <c r="P84" s="25"/>
      <c r="Q84" s="25"/>
      <c r="T84" s="25"/>
      <c r="U84" s="25"/>
      <c r="V84" s="25"/>
      <c r="W84" s="25"/>
      <c r="X84" s="25"/>
      <c r="Y84" s="25"/>
      <c r="Z84" s="25"/>
      <c r="AE84" s="25"/>
      <c r="AF84" s="25"/>
      <c r="AG84" s="25"/>
      <c r="AH84" s="25"/>
      <c r="AI84" s="25"/>
      <c r="AJ84" s="25"/>
      <c r="AK84" s="25"/>
      <c r="AL84" s="108"/>
      <c r="AN84" s="25"/>
      <c r="AO84" s="25"/>
      <c r="AP84" s="25"/>
      <c r="AQ84" s="25"/>
      <c r="AR84" s="25"/>
      <c r="AS84" s="25"/>
      <c r="AT84" s="25"/>
    </row>
    <row r="85" spans="2:46" x14ac:dyDescent="0.25">
      <c r="B85" s="124"/>
      <c r="C85" s="124"/>
      <c r="D85" s="125"/>
      <c r="E85" s="124"/>
      <c r="F85" s="124"/>
      <c r="K85" s="124"/>
      <c r="L85" s="124"/>
      <c r="M85" s="125"/>
      <c r="N85" s="124"/>
      <c r="O85" s="124"/>
      <c r="T85" s="126"/>
      <c r="U85" s="126"/>
      <c r="V85" s="105"/>
      <c r="W85" s="126"/>
      <c r="X85" s="126"/>
      <c r="Y85" s="108"/>
      <c r="AE85" s="108"/>
      <c r="AF85" s="108"/>
      <c r="AG85" s="108"/>
      <c r="AH85" s="108"/>
      <c r="AI85" s="108"/>
      <c r="AJ85" s="108"/>
      <c r="AK85" s="108"/>
      <c r="AL85" s="108"/>
      <c r="AN85" s="108"/>
      <c r="AO85" s="108"/>
      <c r="AP85" s="108"/>
      <c r="AQ85" s="108"/>
      <c r="AR85" s="108"/>
      <c r="AS85" s="108"/>
      <c r="AT85" s="108"/>
    </row>
    <row r="86" spans="2:46" ht="18.75" x14ac:dyDescent="0.25">
      <c r="B86" s="732" t="s">
        <v>191</v>
      </c>
      <c r="C86" s="732"/>
      <c r="D86" s="732"/>
      <c r="E86" s="732"/>
      <c r="F86" s="732"/>
      <c r="G86" s="732"/>
      <c r="H86" s="732"/>
      <c r="K86" s="107"/>
      <c r="L86" s="127"/>
      <c r="M86" s="125"/>
      <c r="N86" s="124"/>
      <c r="O86" s="124"/>
      <c r="T86" s="128"/>
      <c r="U86" s="129"/>
      <c r="V86" s="105"/>
      <c r="W86" s="126"/>
      <c r="X86" s="126"/>
      <c r="Y86" s="108"/>
      <c r="AE86" s="108"/>
      <c r="AF86" s="108"/>
      <c r="AG86" s="108"/>
      <c r="AH86" s="108"/>
      <c r="AI86" s="108"/>
      <c r="AJ86" s="108"/>
      <c r="AK86" s="108"/>
      <c r="AL86" s="108"/>
      <c r="AN86" s="108"/>
      <c r="AO86" s="108"/>
      <c r="AP86" s="108"/>
      <c r="AQ86" s="108"/>
      <c r="AR86" s="108"/>
      <c r="AS86" s="108"/>
      <c r="AT86" s="108"/>
    </row>
    <row r="87" spans="2:46" ht="18.75" x14ac:dyDescent="0.25">
      <c r="B87" s="731" t="s">
        <v>383</v>
      </c>
      <c r="C87" s="731"/>
      <c r="D87" s="731"/>
      <c r="E87" s="731"/>
      <c r="F87" s="731"/>
      <c r="G87" s="731"/>
      <c r="H87" s="731"/>
      <c r="K87" s="107"/>
      <c r="L87" s="127"/>
      <c r="M87" s="125"/>
      <c r="N87" s="124"/>
      <c r="O87" s="124"/>
      <c r="T87" s="128"/>
      <c r="U87" s="129"/>
      <c r="V87" s="105"/>
      <c r="W87" s="126"/>
      <c r="X87" s="126"/>
      <c r="Y87" s="108"/>
      <c r="AE87" s="108"/>
      <c r="AF87" s="108"/>
      <c r="AG87" s="108"/>
      <c r="AH87" s="108"/>
      <c r="AI87" s="108"/>
      <c r="AJ87" s="108"/>
      <c r="AK87" s="108"/>
      <c r="AL87" s="108"/>
      <c r="AN87" s="108"/>
      <c r="AO87" s="108"/>
      <c r="AP87" s="108"/>
      <c r="AQ87" s="108"/>
      <c r="AR87" s="108"/>
      <c r="AS87" s="108"/>
      <c r="AT87" s="108"/>
    </row>
    <row r="88" spans="2:46" ht="15.75" x14ac:dyDescent="0.25">
      <c r="B88" s="25"/>
      <c r="C88" s="91" t="s">
        <v>732</v>
      </c>
      <c r="D88" s="644">
        <v>1820163.56</v>
      </c>
      <c r="E88" s="94" t="s">
        <v>353</v>
      </c>
      <c r="F88" s="27"/>
      <c r="G88" s="27"/>
      <c r="H88" s="73"/>
      <c r="K88" s="102"/>
      <c r="M88" s="45"/>
      <c r="N88" s="130"/>
      <c r="O88" s="126"/>
      <c r="P88" s="126"/>
      <c r="Q88" s="108"/>
      <c r="T88" s="130"/>
      <c r="U88" s="108"/>
      <c r="V88" s="131"/>
      <c r="W88" s="130"/>
      <c r="X88" s="126"/>
      <c r="Y88" s="126"/>
      <c r="AE88" s="108"/>
      <c r="AF88" s="108"/>
      <c r="AG88" s="108"/>
      <c r="AH88" s="108"/>
      <c r="AI88" s="108"/>
      <c r="AJ88" s="108"/>
      <c r="AK88" s="108"/>
      <c r="AL88" s="108"/>
      <c r="AN88" s="108"/>
      <c r="AO88" s="108"/>
      <c r="AP88" s="108"/>
      <c r="AQ88" s="108"/>
      <c r="AR88" s="108"/>
      <c r="AS88" s="108"/>
      <c r="AT88" s="108"/>
    </row>
    <row r="89" spans="2:46" ht="15.75" x14ac:dyDescent="0.25">
      <c r="B89" s="25"/>
      <c r="C89" s="91" t="s">
        <v>740</v>
      </c>
      <c r="D89" s="644">
        <v>42818.79</v>
      </c>
      <c r="E89" s="94" t="s">
        <v>354</v>
      </c>
      <c r="F89" s="27"/>
      <c r="G89" s="27"/>
      <c r="H89" s="73"/>
      <c r="I89" s="111"/>
      <c r="K89" s="102"/>
      <c r="M89" s="45"/>
      <c r="N89" s="130"/>
      <c r="O89" s="126"/>
      <c r="P89" s="126"/>
      <c r="Q89" s="108"/>
      <c r="R89" s="111"/>
      <c r="T89" s="130"/>
      <c r="U89" s="108"/>
      <c r="V89" s="131"/>
      <c r="W89" s="130"/>
      <c r="X89" s="126"/>
      <c r="Y89" s="126"/>
      <c r="AE89" s="108"/>
      <c r="AF89" s="108"/>
      <c r="AG89" s="108"/>
      <c r="AH89" s="108"/>
      <c r="AI89" s="108"/>
      <c r="AJ89" s="108"/>
      <c r="AK89" s="108"/>
      <c r="AL89" s="108"/>
      <c r="AN89" s="108"/>
      <c r="AO89" s="108"/>
      <c r="AP89" s="108"/>
      <c r="AQ89" s="108"/>
      <c r="AR89" s="108"/>
      <c r="AS89" s="108"/>
      <c r="AT89" s="108"/>
    </row>
    <row r="90" spans="2:46" ht="15.75" x14ac:dyDescent="0.25">
      <c r="B90" s="25"/>
      <c r="C90" s="91" t="s">
        <v>385</v>
      </c>
      <c r="D90" s="644"/>
      <c r="E90" s="94" t="s">
        <v>363</v>
      </c>
      <c r="F90" s="27"/>
      <c r="G90" s="27"/>
      <c r="H90" s="73"/>
      <c r="K90" s="102"/>
      <c r="M90" s="45"/>
      <c r="N90" s="130"/>
      <c r="O90" s="126"/>
      <c r="P90" s="126"/>
      <c r="Q90" s="108"/>
      <c r="T90" s="130"/>
      <c r="U90" s="108"/>
      <c r="V90" s="131"/>
      <c r="W90" s="130"/>
      <c r="X90" s="126"/>
      <c r="Y90" s="126"/>
      <c r="AE90" s="108"/>
      <c r="AF90" s="108"/>
      <c r="AG90" s="108"/>
      <c r="AH90" s="108"/>
      <c r="AI90" s="108"/>
      <c r="AJ90" s="108"/>
      <c r="AK90" s="108"/>
      <c r="AL90" s="108"/>
      <c r="AN90" s="108"/>
      <c r="AO90" s="108"/>
      <c r="AP90" s="108"/>
      <c r="AQ90" s="108"/>
      <c r="AR90" s="108"/>
      <c r="AS90" s="108"/>
      <c r="AT90" s="108"/>
    </row>
    <row r="91" spans="2:46" ht="15.75" x14ac:dyDescent="0.25">
      <c r="B91" s="25"/>
      <c r="C91" s="91" t="s">
        <v>384</v>
      </c>
      <c r="D91" s="644">
        <v>72.5</v>
      </c>
      <c r="E91" s="94" t="s">
        <v>363</v>
      </c>
      <c r="F91" s="27"/>
      <c r="G91" s="27"/>
      <c r="H91" s="73"/>
      <c r="K91" s="102"/>
      <c r="M91" s="45"/>
      <c r="N91" s="130"/>
      <c r="O91" s="126"/>
      <c r="P91" s="126"/>
      <c r="Q91" s="108"/>
      <c r="T91" s="130"/>
      <c r="U91" s="108"/>
      <c r="V91" s="131"/>
      <c r="W91" s="130"/>
      <c r="X91" s="126"/>
      <c r="Y91" s="126"/>
      <c r="AE91" s="108"/>
      <c r="AF91" s="108"/>
      <c r="AG91" s="108"/>
      <c r="AH91" s="108"/>
      <c r="AI91" s="108"/>
      <c r="AJ91" s="108"/>
      <c r="AK91" s="108"/>
      <c r="AL91" s="108"/>
      <c r="AN91" s="108"/>
      <c r="AO91" s="108"/>
      <c r="AP91" s="108"/>
      <c r="AQ91" s="108"/>
      <c r="AR91" s="108"/>
      <c r="AS91" s="108"/>
      <c r="AT91" s="108"/>
    </row>
    <row r="92" spans="2:46" ht="15.75" x14ac:dyDescent="0.25">
      <c r="B92" s="25"/>
      <c r="C92" s="91" t="s">
        <v>386</v>
      </c>
      <c r="D92" s="644">
        <v>13.82</v>
      </c>
      <c r="E92" s="94" t="s">
        <v>358</v>
      </c>
      <c r="F92" s="27"/>
      <c r="G92" s="27"/>
      <c r="H92" s="73"/>
      <c r="K92" s="102"/>
      <c r="M92" s="45"/>
      <c r="N92" s="130"/>
      <c r="O92" s="126"/>
      <c r="P92" s="126"/>
      <c r="Q92" s="108"/>
      <c r="T92" s="130"/>
      <c r="U92" s="108"/>
      <c r="V92" s="131"/>
      <c r="W92" s="130"/>
      <c r="X92" s="126"/>
      <c r="Y92" s="126"/>
      <c r="AE92" s="108"/>
      <c r="AF92" s="108"/>
      <c r="AG92" s="108"/>
      <c r="AH92" s="108"/>
      <c r="AI92" s="108"/>
      <c r="AJ92" s="108"/>
      <c r="AK92" s="108"/>
      <c r="AL92" s="108"/>
      <c r="AN92" s="108"/>
      <c r="AO92" s="108"/>
      <c r="AP92" s="108"/>
      <c r="AQ92" s="108"/>
      <c r="AR92" s="108"/>
      <c r="AS92" s="108"/>
      <c r="AT92" s="108"/>
    </row>
    <row r="93" spans="2:46" ht="15.75" x14ac:dyDescent="0.25">
      <c r="B93" s="25"/>
      <c r="C93" s="91" t="s">
        <v>387</v>
      </c>
      <c r="D93" s="644"/>
      <c r="E93" s="94" t="s">
        <v>377</v>
      </c>
      <c r="F93" s="27"/>
      <c r="G93" s="27"/>
      <c r="H93" s="73"/>
      <c r="K93" s="102"/>
      <c r="M93" s="45"/>
      <c r="N93" s="130"/>
      <c r="O93" s="126"/>
      <c r="P93" s="126"/>
      <c r="Q93" s="108"/>
      <c r="T93" s="130"/>
      <c r="U93" s="108"/>
      <c r="V93" s="131"/>
      <c r="W93" s="130"/>
      <c r="X93" s="126"/>
      <c r="Y93" s="126"/>
      <c r="AE93" s="108"/>
      <c r="AF93" s="108"/>
      <c r="AG93" s="108"/>
      <c r="AH93" s="108"/>
      <c r="AI93" s="108"/>
      <c r="AJ93" s="108"/>
      <c r="AK93" s="108"/>
      <c r="AL93" s="108"/>
      <c r="AN93" s="108"/>
      <c r="AO93" s="108"/>
      <c r="AP93" s="108"/>
      <c r="AQ93" s="108"/>
      <c r="AR93" s="108"/>
      <c r="AS93" s="108"/>
      <c r="AT93" s="108"/>
    </row>
    <row r="94" spans="2:46" ht="15.75" x14ac:dyDescent="0.25">
      <c r="B94" s="25"/>
      <c r="C94" s="91" t="s">
        <v>388</v>
      </c>
      <c r="D94" s="644"/>
      <c r="E94" s="94" t="s">
        <v>358</v>
      </c>
      <c r="F94" s="91" t="s">
        <v>134</v>
      </c>
      <c r="G94" s="670"/>
      <c r="H94" s="73"/>
      <c r="K94" s="102"/>
      <c r="M94" s="45"/>
      <c r="N94" s="130"/>
      <c r="O94" s="105"/>
      <c r="P94" s="132"/>
      <c r="Q94" s="108"/>
      <c r="T94" s="130"/>
      <c r="U94" s="108"/>
      <c r="V94" s="131"/>
      <c r="W94" s="130"/>
      <c r="X94" s="105"/>
      <c r="Y94" s="132"/>
      <c r="AE94" s="108"/>
      <c r="AF94" s="108"/>
      <c r="AG94" s="108"/>
      <c r="AH94" s="108"/>
      <c r="AI94" s="108"/>
      <c r="AJ94" s="108"/>
      <c r="AK94" s="108"/>
      <c r="AL94" s="108"/>
      <c r="AN94" s="108"/>
      <c r="AO94" s="108"/>
      <c r="AP94" s="108"/>
      <c r="AQ94" s="108"/>
      <c r="AR94" s="108"/>
      <c r="AS94" s="108"/>
      <c r="AT94" s="108"/>
    </row>
    <row r="95" spans="2:46" ht="6" customHeight="1" x14ac:dyDescent="0.25">
      <c r="B95" s="25"/>
      <c r="C95" s="73"/>
      <c r="D95" s="73"/>
      <c r="E95" s="29"/>
      <c r="F95" s="26"/>
      <c r="G95" s="26"/>
      <c r="H95" s="73"/>
      <c r="K95" s="102"/>
      <c r="M95" s="45"/>
      <c r="N95" s="130"/>
      <c r="O95" s="105"/>
      <c r="P95" s="132"/>
      <c r="Q95" s="108"/>
      <c r="T95" s="130"/>
      <c r="U95" s="108"/>
      <c r="V95" s="131"/>
      <c r="W95" s="130"/>
      <c r="X95" s="105"/>
      <c r="Y95" s="132"/>
      <c r="AE95" s="108"/>
      <c r="AF95" s="108"/>
      <c r="AG95" s="108"/>
      <c r="AH95" s="108"/>
      <c r="AI95" s="108"/>
      <c r="AJ95" s="108"/>
      <c r="AK95" s="108"/>
      <c r="AL95" s="108"/>
      <c r="AN95" s="108"/>
      <c r="AO95" s="108"/>
      <c r="AP95" s="108"/>
      <c r="AQ95" s="108"/>
      <c r="AR95" s="108"/>
      <c r="AS95" s="108"/>
      <c r="AT95" s="108"/>
    </row>
    <row r="96" spans="2:46" ht="15.75" x14ac:dyDescent="0.25">
      <c r="B96" s="731" t="s">
        <v>243</v>
      </c>
      <c r="C96" s="731"/>
      <c r="D96" s="731"/>
      <c r="E96" s="731"/>
      <c r="F96" s="731"/>
      <c r="G96" s="731"/>
      <c r="H96" s="731"/>
      <c r="K96" s="133"/>
      <c r="M96" s="134"/>
      <c r="N96" s="135"/>
      <c r="O96" s="135"/>
      <c r="P96" s="135"/>
      <c r="Q96" s="108"/>
      <c r="T96" s="136"/>
      <c r="U96" s="108"/>
      <c r="V96" s="134"/>
      <c r="W96" s="135"/>
      <c r="X96" s="135"/>
      <c r="Y96" s="135"/>
      <c r="AE96" s="108"/>
      <c r="AF96" s="108"/>
      <c r="AG96" s="108"/>
      <c r="AH96" s="108"/>
      <c r="AI96" s="108"/>
      <c r="AJ96" s="108"/>
      <c r="AK96" s="108"/>
      <c r="AL96" s="108"/>
      <c r="AN96" s="108"/>
      <c r="AO96" s="108"/>
      <c r="AP96" s="108"/>
      <c r="AQ96" s="108"/>
      <c r="AR96" s="108"/>
      <c r="AS96" s="108"/>
      <c r="AT96" s="108"/>
    </row>
    <row r="97" spans="2:46" ht="15.75" x14ac:dyDescent="0.25">
      <c r="B97" s="54"/>
      <c r="C97" s="730" t="s">
        <v>391</v>
      </c>
      <c r="D97" s="730"/>
      <c r="E97" s="730"/>
      <c r="F97" s="26"/>
      <c r="G97" s="43"/>
      <c r="H97" s="73"/>
      <c r="K97" s="133"/>
      <c r="M97" s="134"/>
      <c r="N97" s="135"/>
      <c r="O97" s="135"/>
      <c r="P97" s="135"/>
      <c r="Q97" s="108"/>
      <c r="T97" s="136"/>
      <c r="U97" s="108"/>
      <c r="V97" s="134"/>
      <c r="W97" s="135"/>
      <c r="X97" s="135"/>
      <c r="Y97" s="135"/>
      <c r="AE97" s="108"/>
      <c r="AF97" s="108"/>
      <c r="AG97" s="108"/>
      <c r="AH97" s="108"/>
      <c r="AI97" s="108"/>
      <c r="AJ97" s="108"/>
      <c r="AK97" s="108"/>
      <c r="AL97" s="108"/>
      <c r="AN97" s="108"/>
      <c r="AO97" s="108"/>
      <c r="AP97" s="108"/>
      <c r="AQ97" s="108"/>
      <c r="AR97" s="108"/>
      <c r="AS97" s="108"/>
      <c r="AT97" s="108"/>
    </row>
    <row r="98" spans="2:46" ht="15.75" x14ac:dyDescent="0.25">
      <c r="B98" s="54"/>
      <c r="C98" s="91" t="s">
        <v>392</v>
      </c>
      <c r="D98" s="644">
        <v>260.91000000000003</v>
      </c>
      <c r="E98" s="94" t="s">
        <v>358</v>
      </c>
      <c r="F98" s="26"/>
      <c r="G98" s="43"/>
      <c r="H98" s="73"/>
      <c r="K98" s="137"/>
      <c r="M98" s="45"/>
      <c r="N98" s="138"/>
      <c r="O98" s="105"/>
      <c r="P98" s="132"/>
      <c r="Q98" s="108"/>
      <c r="T98" s="139"/>
      <c r="U98" s="108"/>
      <c r="V98" s="45"/>
      <c r="W98" s="138"/>
      <c r="X98" s="105"/>
      <c r="Y98" s="132"/>
      <c r="AE98" s="108"/>
      <c r="AF98" s="108"/>
      <c r="AG98" s="108"/>
      <c r="AH98" s="108"/>
      <c r="AI98" s="108"/>
      <c r="AJ98" s="108"/>
      <c r="AK98" s="108"/>
      <c r="AL98" s="108"/>
      <c r="AN98" s="108"/>
      <c r="AO98" s="108"/>
      <c r="AP98" s="108"/>
      <c r="AQ98" s="108"/>
      <c r="AR98" s="108"/>
      <c r="AS98" s="108"/>
      <c r="AT98" s="108"/>
    </row>
    <row r="99" spans="2:46" ht="15.75" x14ac:dyDescent="0.25">
      <c r="B99" s="73"/>
      <c r="C99" s="91" t="s">
        <v>134</v>
      </c>
      <c r="D99" s="670">
        <v>0.5</v>
      </c>
      <c r="E99" s="25"/>
      <c r="F99" s="26"/>
      <c r="G99" s="43"/>
      <c r="H99" s="73"/>
      <c r="K99" s="137"/>
      <c r="M99" s="45"/>
      <c r="N99" s="138"/>
      <c r="O99" s="105"/>
      <c r="P99" s="132"/>
      <c r="Q99" s="108"/>
      <c r="T99" s="139"/>
      <c r="U99" s="108"/>
      <c r="V99" s="45"/>
      <c r="W99" s="138"/>
      <c r="X99" s="105"/>
      <c r="Y99" s="132"/>
      <c r="AE99" s="108"/>
      <c r="AF99" s="108"/>
      <c r="AG99" s="108"/>
      <c r="AH99" s="108"/>
      <c r="AI99" s="108"/>
      <c r="AJ99" s="108"/>
      <c r="AK99" s="108"/>
      <c r="AL99" s="108"/>
      <c r="AN99" s="108"/>
      <c r="AO99" s="108"/>
      <c r="AP99" s="108"/>
      <c r="AQ99" s="108"/>
      <c r="AR99" s="108"/>
      <c r="AS99" s="108"/>
      <c r="AT99" s="108"/>
    </row>
    <row r="100" spans="2:46" ht="6" customHeight="1" x14ac:dyDescent="0.25">
      <c r="B100" s="156"/>
      <c r="C100" s="125"/>
      <c r="D100" s="132"/>
      <c r="E100" s="75"/>
      <c r="F100" s="125"/>
      <c r="G100" s="132"/>
      <c r="K100" s="137"/>
      <c r="M100" s="45"/>
      <c r="N100" s="138"/>
      <c r="O100" s="105"/>
      <c r="P100" s="132"/>
      <c r="Q100" s="108"/>
      <c r="T100" s="139"/>
      <c r="U100" s="108"/>
      <c r="V100" s="45"/>
      <c r="W100" s="138"/>
      <c r="X100" s="105"/>
      <c r="Y100" s="132"/>
      <c r="AE100" s="108"/>
      <c r="AF100" s="108"/>
      <c r="AG100" s="108"/>
      <c r="AH100" s="108"/>
      <c r="AI100" s="108"/>
      <c r="AJ100" s="108"/>
      <c r="AK100" s="108"/>
      <c r="AL100" s="108"/>
      <c r="AN100" s="108"/>
      <c r="AO100" s="108"/>
      <c r="AP100" s="108"/>
      <c r="AQ100" s="108"/>
      <c r="AR100" s="108"/>
      <c r="AS100" s="108"/>
      <c r="AT100" s="108"/>
    </row>
    <row r="101" spans="2:46" ht="15.75" x14ac:dyDescent="0.25">
      <c r="B101" s="54"/>
      <c r="C101" s="730" t="s">
        <v>390</v>
      </c>
      <c r="D101" s="730"/>
      <c r="E101" s="730"/>
      <c r="F101" s="26"/>
      <c r="G101" s="43"/>
      <c r="H101" s="73"/>
      <c r="K101" s="137"/>
      <c r="M101" s="45"/>
      <c r="N101" s="138"/>
      <c r="O101" s="105"/>
      <c r="P101" s="132"/>
      <c r="Q101" s="108"/>
      <c r="T101" s="139"/>
      <c r="U101" s="108"/>
      <c r="V101" s="45"/>
      <c r="W101" s="138"/>
      <c r="X101" s="105"/>
      <c r="Y101" s="132"/>
      <c r="AE101" s="108"/>
      <c r="AF101" s="108"/>
      <c r="AG101" s="108"/>
      <c r="AH101" s="108"/>
      <c r="AI101" s="108"/>
      <c r="AJ101" s="108"/>
      <c r="AK101" s="108"/>
      <c r="AL101" s="108"/>
      <c r="AN101" s="108"/>
      <c r="AO101" s="108"/>
      <c r="AP101" s="108"/>
      <c r="AQ101" s="108"/>
      <c r="AR101" s="108"/>
      <c r="AS101" s="108"/>
      <c r="AT101" s="108"/>
    </row>
    <row r="102" spans="2:46" ht="15.75" x14ac:dyDescent="0.25">
      <c r="B102" s="26"/>
      <c r="C102" s="91" t="s">
        <v>392</v>
      </c>
      <c r="D102" s="644">
        <v>18.07</v>
      </c>
      <c r="E102" s="94" t="s">
        <v>358</v>
      </c>
      <c r="F102" s="26"/>
      <c r="G102" s="43"/>
      <c r="H102" s="73"/>
      <c r="K102" s="137"/>
      <c r="M102" s="45"/>
      <c r="N102" s="138"/>
      <c r="O102" s="105"/>
      <c r="P102" s="132"/>
      <c r="Q102" s="108"/>
      <c r="T102" s="139"/>
      <c r="U102" s="108"/>
      <c r="V102" s="45"/>
      <c r="W102" s="138"/>
      <c r="X102" s="105"/>
      <c r="Y102" s="132"/>
      <c r="AE102" s="108"/>
      <c r="AF102" s="108"/>
      <c r="AG102" s="108"/>
      <c r="AH102" s="108"/>
      <c r="AI102" s="108"/>
      <c r="AJ102" s="108"/>
      <c r="AK102" s="108"/>
      <c r="AL102" s="108"/>
      <c r="AN102" s="108"/>
      <c r="AO102" s="108"/>
      <c r="AP102" s="108"/>
      <c r="AQ102" s="108"/>
      <c r="AR102" s="108"/>
      <c r="AS102" s="108"/>
      <c r="AT102" s="108"/>
    </row>
    <row r="103" spans="2:46" ht="15.75" x14ac:dyDescent="0.25">
      <c r="B103" s="73"/>
      <c r="C103" s="91" t="s">
        <v>134</v>
      </c>
      <c r="D103" s="670">
        <v>0.104</v>
      </c>
      <c r="E103" s="25"/>
      <c r="F103" s="26"/>
      <c r="G103" s="43"/>
      <c r="H103" s="73"/>
      <c r="K103" s="137"/>
      <c r="M103" s="45"/>
      <c r="N103" s="138"/>
      <c r="O103" s="105"/>
      <c r="P103" s="132"/>
      <c r="Q103" s="108"/>
      <c r="T103" s="139"/>
      <c r="U103" s="108"/>
      <c r="V103" s="45"/>
      <c r="W103" s="138"/>
      <c r="X103" s="105"/>
      <c r="Y103" s="132"/>
      <c r="AE103" s="108"/>
      <c r="AF103" s="108"/>
      <c r="AG103" s="108"/>
      <c r="AH103" s="108"/>
      <c r="AI103" s="108"/>
      <c r="AJ103" s="108"/>
      <c r="AK103" s="108"/>
      <c r="AL103" s="108"/>
      <c r="AN103" s="108"/>
      <c r="AO103" s="108"/>
      <c r="AP103" s="108"/>
      <c r="AQ103" s="108"/>
      <c r="AR103" s="108"/>
      <c r="AS103" s="108"/>
      <c r="AT103" s="108"/>
    </row>
    <row r="104" spans="2:46" ht="6" customHeight="1" x14ac:dyDescent="0.25">
      <c r="B104" s="156"/>
      <c r="C104" s="125"/>
      <c r="D104" s="132"/>
      <c r="E104" s="75"/>
      <c r="F104" s="125"/>
      <c r="G104" s="132"/>
      <c r="K104" s="137"/>
      <c r="M104" s="45"/>
      <c r="N104" s="138"/>
      <c r="O104" s="105"/>
      <c r="P104" s="132"/>
      <c r="Q104" s="108"/>
      <c r="T104" s="139"/>
      <c r="U104" s="108"/>
      <c r="V104" s="45"/>
      <c r="W104" s="138"/>
      <c r="X104" s="105"/>
      <c r="Y104" s="132"/>
      <c r="AE104" s="108"/>
      <c r="AF104" s="108"/>
      <c r="AG104" s="108"/>
      <c r="AH104" s="108"/>
      <c r="AI104" s="108"/>
      <c r="AJ104" s="108"/>
      <c r="AK104" s="108"/>
      <c r="AL104" s="108"/>
      <c r="AN104" s="108"/>
      <c r="AO104" s="108"/>
      <c r="AP104" s="108"/>
      <c r="AQ104" s="108"/>
      <c r="AR104" s="108"/>
      <c r="AS104" s="108"/>
      <c r="AT104" s="108"/>
    </row>
    <row r="105" spans="2:46" ht="15.75" x14ac:dyDescent="0.25">
      <c r="B105" s="54"/>
      <c r="C105" s="730" t="s">
        <v>389</v>
      </c>
      <c r="D105" s="730"/>
      <c r="E105" s="730"/>
      <c r="F105" s="26"/>
      <c r="G105" s="43"/>
      <c r="H105" s="73"/>
      <c r="K105" s="137"/>
      <c r="M105" s="45"/>
      <c r="N105" s="138"/>
      <c r="O105" s="105"/>
      <c r="P105" s="132"/>
      <c r="Q105" s="108"/>
      <c r="T105" s="139"/>
      <c r="U105" s="108"/>
      <c r="V105" s="45"/>
      <c r="W105" s="138"/>
      <c r="X105" s="105"/>
      <c r="Y105" s="132"/>
      <c r="AE105" s="108"/>
      <c r="AF105" s="108"/>
      <c r="AG105" s="108"/>
      <c r="AH105" s="108"/>
      <c r="AI105" s="108"/>
      <c r="AJ105" s="108"/>
      <c r="AK105" s="108"/>
      <c r="AL105" s="108"/>
      <c r="AN105" s="108"/>
      <c r="AO105" s="108"/>
      <c r="AP105" s="108"/>
      <c r="AQ105" s="108"/>
      <c r="AR105" s="108"/>
      <c r="AS105" s="108"/>
      <c r="AT105" s="108"/>
    </row>
    <row r="106" spans="2:46" ht="15.75" x14ac:dyDescent="0.25">
      <c r="B106" s="26"/>
      <c r="C106" s="91" t="s">
        <v>392</v>
      </c>
      <c r="D106" s="644">
        <v>29.74</v>
      </c>
      <c r="E106" s="94" t="s">
        <v>358</v>
      </c>
      <c r="F106" s="26"/>
      <c r="G106" s="43"/>
      <c r="H106" s="73"/>
      <c r="K106" s="137"/>
      <c r="M106" s="45"/>
      <c r="N106" s="138"/>
      <c r="O106" s="105"/>
      <c r="P106" s="132"/>
      <c r="Q106" s="108"/>
      <c r="T106" s="139"/>
      <c r="U106" s="108"/>
      <c r="V106" s="45"/>
      <c r="W106" s="138"/>
      <c r="X106" s="105"/>
      <c r="Y106" s="132"/>
      <c r="AE106" s="108"/>
      <c r="AF106" s="108"/>
      <c r="AG106" s="108"/>
      <c r="AH106" s="108"/>
      <c r="AI106" s="108"/>
      <c r="AJ106" s="108"/>
      <c r="AK106" s="108"/>
      <c r="AL106" s="108"/>
      <c r="AN106" s="108"/>
      <c r="AO106" s="108"/>
      <c r="AP106" s="108"/>
      <c r="AQ106" s="108"/>
      <c r="AR106" s="108"/>
      <c r="AS106" s="108"/>
      <c r="AT106" s="108"/>
    </row>
    <row r="107" spans="2:46" ht="15.75" x14ac:dyDescent="0.25">
      <c r="B107" s="73"/>
      <c r="C107" s="91" t="s">
        <v>134</v>
      </c>
      <c r="D107" s="670">
        <v>0.50139999999999996</v>
      </c>
      <c r="E107" s="25"/>
      <c r="F107" s="26"/>
      <c r="G107" s="43"/>
      <c r="H107" s="73"/>
      <c r="K107" s="137"/>
      <c r="M107" s="45"/>
      <c r="N107" s="138"/>
      <c r="O107" s="105"/>
      <c r="P107" s="132"/>
      <c r="Q107" s="108"/>
      <c r="T107" s="139"/>
      <c r="U107" s="108"/>
      <c r="V107" s="45"/>
      <c r="W107" s="138"/>
      <c r="X107" s="105"/>
      <c r="Y107" s="132"/>
      <c r="AE107" s="108"/>
      <c r="AF107" s="108"/>
      <c r="AG107" s="108"/>
      <c r="AH107" s="108"/>
      <c r="AI107" s="108"/>
      <c r="AJ107" s="108"/>
      <c r="AK107" s="108"/>
      <c r="AL107" s="108"/>
      <c r="AN107" s="108"/>
      <c r="AO107" s="108"/>
      <c r="AP107" s="108"/>
      <c r="AQ107" s="108"/>
      <c r="AR107" s="108"/>
      <c r="AS107" s="108"/>
      <c r="AT107" s="108"/>
    </row>
    <row r="108" spans="2:46" ht="15.75" x14ac:dyDescent="0.25">
      <c r="B108" s="26"/>
      <c r="C108" s="91" t="s">
        <v>257</v>
      </c>
      <c r="D108" s="636">
        <v>88.05</v>
      </c>
      <c r="E108" s="94" t="s">
        <v>190</v>
      </c>
      <c r="F108" s="26"/>
      <c r="G108" s="43"/>
      <c r="H108" s="73"/>
      <c r="K108" s="137"/>
      <c r="M108" s="45"/>
      <c r="N108" s="138"/>
      <c r="O108" s="105"/>
      <c r="P108" s="132"/>
      <c r="Q108" s="108"/>
      <c r="T108" s="139"/>
      <c r="U108" s="108"/>
      <c r="V108" s="45"/>
      <c r="W108" s="138"/>
      <c r="X108" s="105"/>
      <c r="Y108" s="132"/>
      <c r="AE108" s="108"/>
      <c r="AF108" s="108"/>
      <c r="AG108" s="108"/>
      <c r="AH108" s="108"/>
      <c r="AI108" s="108"/>
      <c r="AJ108" s="108"/>
      <c r="AK108" s="108"/>
      <c r="AL108" s="108"/>
      <c r="AN108" s="108"/>
      <c r="AO108" s="108"/>
      <c r="AP108" s="108"/>
      <c r="AQ108" s="108"/>
      <c r="AR108" s="108"/>
      <c r="AS108" s="108"/>
      <c r="AT108" s="108"/>
    </row>
    <row r="109" spans="2:46" ht="6" customHeight="1" x14ac:dyDescent="0.25">
      <c r="B109" s="156"/>
      <c r="C109" s="157"/>
      <c r="D109" s="53"/>
      <c r="E109" s="138"/>
      <c r="F109" s="125"/>
      <c r="G109" s="105"/>
      <c r="K109" s="137"/>
      <c r="M109" s="45"/>
      <c r="N109" s="138"/>
      <c r="O109" s="105"/>
      <c r="P109" s="132"/>
      <c r="Q109" s="108"/>
      <c r="T109" s="139"/>
      <c r="U109" s="108"/>
      <c r="V109" s="45"/>
      <c r="W109" s="138"/>
      <c r="X109" s="105"/>
      <c r="Y109" s="132"/>
      <c r="AE109" s="108"/>
      <c r="AF109" s="108"/>
      <c r="AG109" s="108"/>
      <c r="AH109" s="108"/>
      <c r="AI109" s="108"/>
      <c r="AJ109" s="108"/>
      <c r="AK109" s="108"/>
      <c r="AL109" s="108"/>
      <c r="AN109" s="108"/>
      <c r="AO109" s="108"/>
      <c r="AP109" s="108"/>
      <c r="AQ109" s="108"/>
      <c r="AR109" s="108"/>
      <c r="AS109" s="108"/>
      <c r="AT109" s="108"/>
    </row>
    <row r="110" spans="2:46" ht="15.75" x14ac:dyDescent="0.25">
      <c r="B110" s="54"/>
      <c r="C110" s="733" t="s">
        <v>184</v>
      </c>
      <c r="D110" s="733"/>
      <c r="E110" s="733"/>
      <c r="F110" s="26"/>
      <c r="G110" s="43"/>
      <c r="H110" s="73"/>
      <c r="K110" s="137"/>
      <c r="M110" s="45"/>
      <c r="N110" s="138"/>
      <c r="O110" s="105"/>
      <c r="P110" s="132"/>
      <c r="Q110" s="108"/>
      <c r="T110" s="139"/>
      <c r="U110" s="108"/>
      <c r="V110" s="45"/>
      <c r="W110" s="138"/>
      <c r="X110" s="105"/>
      <c r="Y110" s="132"/>
      <c r="AE110" s="108"/>
      <c r="AF110" s="108"/>
      <c r="AG110" s="108"/>
      <c r="AH110" s="108"/>
      <c r="AI110" s="108"/>
      <c r="AJ110" s="108"/>
      <c r="AK110" s="108"/>
      <c r="AL110" s="108"/>
      <c r="AN110" s="108"/>
      <c r="AO110" s="108"/>
      <c r="AP110" s="108"/>
      <c r="AQ110" s="108"/>
      <c r="AR110" s="108"/>
      <c r="AS110" s="108"/>
      <c r="AT110" s="108"/>
    </row>
    <row r="111" spans="2:46" ht="15.75" x14ac:dyDescent="0.25">
      <c r="B111" s="26"/>
      <c r="C111" s="91" t="s">
        <v>392</v>
      </c>
      <c r="D111" s="644">
        <v>5.45</v>
      </c>
      <c r="E111" s="94" t="s">
        <v>358</v>
      </c>
      <c r="F111" s="26"/>
      <c r="G111" s="26"/>
      <c r="H111" s="73"/>
      <c r="K111" s="102"/>
      <c r="M111" s="45"/>
      <c r="N111" s="138"/>
      <c r="O111" s="105"/>
      <c r="P111" s="132"/>
      <c r="Q111" s="108"/>
      <c r="T111" s="130"/>
      <c r="U111" s="108"/>
      <c r="V111" s="45"/>
      <c r="W111" s="138"/>
      <c r="X111" s="105"/>
      <c r="Y111" s="132"/>
      <c r="AE111" s="108"/>
      <c r="AF111" s="108"/>
      <c r="AG111" s="108"/>
      <c r="AH111" s="108"/>
      <c r="AI111" s="108"/>
      <c r="AJ111" s="108"/>
      <c r="AK111" s="108"/>
      <c r="AL111" s="108"/>
      <c r="AN111" s="108"/>
      <c r="AO111" s="108"/>
      <c r="AP111" s="108"/>
      <c r="AQ111" s="108"/>
      <c r="AR111" s="108"/>
      <c r="AS111" s="108"/>
      <c r="AT111" s="108"/>
    </row>
    <row r="112" spans="2:46" ht="15.75" x14ac:dyDescent="0.25">
      <c r="B112" s="73"/>
      <c r="C112" s="91" t="s">
        <v>134</v>
      </c>
      <c r="D112" s="670">
        <v>0.104</v>
      </c>
      <c r="E112" s="25"/>
      <c r="F112" s="26"/>
      <c r="G112" s="26"/>
      <c r="H112" s="73"/>
      <c r="K112" s="102"/>
      <c r="M112" s="45"/>
      <c r="N112" s="138"/>
      <c r="O112" s="105"/>
      <c r="P112" s="132"/>
      <c r="Q112" s="108"/>
      <c r="T112" s="130"/>
      <c r="U112" s="108"/>
      <c r="V112" s="45"/>
      <c r="W112" s="138"/>
      <c r="X112" s="105"/>
      <c r="Y112" s="132"/>
      <c r="AE112" s="108"/>
      <c r="AF112" s="108"/>
      <c r="AG112" s="108"/>
      <c r="AH112" s="108"/>
      <c r="AI112" s="108"/>
      <c r="AJ112" s="108"/>
      <c r="AK112" s="108"/>
      <c r="AL112" s="108"/>
      <c r="AN112" s="108"/>
      <c r="AO112" s="108"/>
      <c r="AP112" s="108"/>
      <c r="AQ112" s="108"/>
      <c r="AR112" s="108"/>
      <c r="AS112" s="108"/>
      <c r="AT112" s="108"/>
    </row>
    <row r="113" spans="2:46" ht="15.75" x14ac:dyDescent="0.25">
      <c r="B113" s="26"/>
      <c r="C113" s="91" t="s">
        <v>257</v>
      </c>
      <c r="D113" s="644">
        <v>73.099999999999994</v>
      </c>
      <c r="E113" s="94" t="s">
        <v>190</v>
      </c>
      <c r="F113" s="26"/>
      <c r="G113" s="26"/>
      <c r="H113" s="73"/>
      <c r="M113" s="45"/>
      <c r="N113" s="138"/>
      <c r="O113" s="105"/>
      <c r="P113" s="132"/>
      <c r="Q113" s="108"/>
      <c r="T113" s="130"/>
      <c r="U113" s="108"/>
      <c r="V113" s="45"/>
      <c r="W113" s="138"/>
      <c r="X113" s="105"/>
      <c r="Y113" s="132"/>
      <c r="AE113" s="108"/>
      <c r="AF113" s="108"/>
      <c r="AG113" s="108"/>
      <c r="AH113" s="108"/>
      <c r="AI113" s="108"/>
      <c r="AJ113" s="108"/>
      <c r="AK113" s="108"/>
      <c r="AL113" s="108"/>
      <c r="AN113" s="108"/>
      <c r="AO113" s="108"/>
      <c r="AP113" s="108"/>
      <c r="AQ113" s="108"/>
      <c r="AR113" s="108"/>
      <c r="AS113" s="108"/>
      <c r="AT113" s="108"/>
    </row>
    <row r="114" spans="2:46" ht="6" customHeight="1" x14ac:dyDescent="0.25">
      <c r="B114" s="75"/>
      <c r="C114" s="157"/>
      <c r="D114" s="53"/>
      <c r="E114" s="75"/>
      <c r="F114" s="125"/>
      <c r="G114" s="132"/>
      <c r="H114" s="108"/>
      <c r="M114" s="45"/>
      <c r="N114" s="138"/>
      <c r="O114" s="105"/>
      <c r="P114" s="132"/>
      <c r="Q114" s="108"/>
      <c r="T114" s="130"/>
      <c r="U114" s="108"/>
      <c r="V114" s="45"/>
      <c r="W114" s="138"/>
      <c r="X114" s="105"/>
      <c r="Y114" s="132"/>
      <c r="AE114" s="108"/>
      <c r="AF114" s="108"/>
      <c r="AG114" s="108"/>
      <c r="AH114" s="108"/>
      <c r="AI114" s="108"/>
      <c r="AJ114" s="108"/>
      <c r="AK114" s="108"/>
      <c r="AL114" s="108"/>
      <c r="AN114" s="108"/>
      <c r="AO114" s="108"/>
      <c r="AP114" s="108"/>
      <c r="AQ114" s="108"/>
      <c r="AR114" s="108"/>
      <c r="AS114" s="108"/>
      <c r="AT114" s="108"/>
    </row>
    <row r="115" spans="2:46" ht="18.75" customHeight="1" x14ac:dyDescent="0.25">
      <c r="B115" s="54"/>
      <c r="C115" s="730" t="s">
        <v>106</v>
      </c>
      <c r="D115" s="730"/>
      <c r="E115" s="730"/>
      <c r="F115" s="26"/>
      <c r="G115" s="43"/>
      <c r="H115" s="73"/>
      <c r="M115" s="45"/>
      <c r="N115" s="138"/>
      <c r="O115" s="105"/>
      <c r="P115" s="132"/>
      <c r="Q115" s="108"/>
      <c r="T115" s="130"/>
      <c r="U115" s="108"/>
      <c r="V115" s="45"/>
      <c r="W115" s="138"/>
      <c r="X115" s="105"/>
      <c r="Y115" s="132"/>
      <c r="AE115" s="108"/>
      <c r="AF115" s="108"/>
      <c r="AG115" s="108"/>
      <c r="AH115" s="108"/>
      <c r="AI115" s="108"/>
      <c r="AJ115" s="108"/>
      <c r="AK115" s="108"/>
      <c r="AL115" s="108"/>
      <c r="AN115" s="108"/>
      <c r="AO115" s="108"/>
      <c r="AP115" s="108"/>
      <c r="AQ115" s="108"/>
      <c r="AR115" s="108"/>
      <c r="AS115" s="108"/>
      <c r="AT115" s="108"/>
    </row>
    <row r="116" spans="2:46" ht="15.75" x14ac:dyDescent="0.25">
      <c r="B116" s="26"/>
      <c r="C116" s="91" t="s">
        <v>392</v>
      </c>
      <c r="D116" s="644"/>
      <c r="E116" s="94" t="s">
        <v>358</v>
      </c>
      <c r="F116" s="26"/>
      <c r="G116" s="26"/>
      <c r="H116" s="73"/>
      <c r="M116" s="45"/>
      <c r="N116" s="138"/>
      <c r="O116" s="105"/>
      <c r="P116" s="132"/>
      <c r="Q116" s="108"/>
      <c r="T116" s="130"/>
      <c r="U116" s="108"/>
      <c r="V116" s="45"/>
      <c r="W116" s="138"/>
      <c r="X116" s="105"/>
      <c r="Y116" s="132"/>
      <c r="AE116" s="108"/>
      <c r="AF116" s="108"/>
      <c r="AG116" s="108"/>
      <c r="AH116" s="108"/>
      <c r="AI116" s="108"/>
      <c r="AJ116" s="108"/>
      <c r="AK116" s="108"/>
      <c r="AL116" s="108"/>
      <c r="AN116" s="108"/>
      <c r="AO116" s="108"/>
      <c r="AP116" s="108"/>
      <c r="AQ116" s="108"/>
      <c r="AR116" s="108"/>
      <c r="AS116" s="108"/>
      <c r="AT116" s="108"/>
    </row>
    <row r="117" spans="2:46" x14ac:dyDescent="0.25">
      <c r="B117" s="73"/>
      <c r="C117" s="91" t="s">
        <v>134</v>
      </c>
      <c r="D117" s="670"/>
      <c r="E117" s="25"/>
      <c r="F117" s="26"/>
      <c r="G117" s="26"/>
      <c r="H117" s="73"/>
      <c r="K117" s="106"/>
      <c r="M117" s="108"/>
      <c r="N117" s="108"/>
      <c r="O117" s="108"/>
      <c r="P117" s="108"/>
      <c r="Q117" s="108"/>
      <c r="AE117" s="108"/>
      <c r="AF117" s="108"/>
      <c r="AG117" s="108"/>
      <c r="AH117" s="108"/>
      <c r="AI117" s="108"/>
      <c r="AJ117" s="108"/>
      <c r="AK117" s="108"/>
      <c r="AL117" s="108"/>
      <c r="AN117" s="108"/>
      <c r="AO117" s="108"/>
      <c r="AP117" s="108"/>
      <c r="AQ117" s="108"/>
      <c r="AR117" s="108"/>
      <c r="AS117" s="108"/>
      <c r="AT117" s="108"/>
    </row>
    <row r="118" spans="2:46" x14ac:dyDescent="0.25">
      <c r="B118" s="26"/>
      <c r="C118" s="91" t="s">
        <v>257</v>
      </c>
      <c r="D118" s="644"/>
      <c r="E118" s="94" t="s">
        <v>190</v>
      </c>
      <c r="F118" s="26"/>
      <c r="G118" s="26"/>
      <c r="H118" s="73"/>
      <c r="AE118" s="108"/>
      <c r="AF118" s="108"/>
      <c r="AG118" s="108"/>
      <c r="AH118" s="108"/>
      <c r="AI118" s="108"/>
      <c r="AJ118" s="108"/>
      <c r="AK118" s="108"/>
      <c r="AL118" s="108"/>
      <c r="AN118" s="108"/>
      <c r="AO118" s="108"/>
      <c r="AP118" s="108"/>
      <c r="AQ118" s="108"/>
      <c r="AR118" s="108"/>
      <c r="AS118" s="108"/>
      <c r="AT118" s="108"/>
    </row>
    <row r="119" spans="2:46" ht="6" customHeight="1" x14ac:dyDescent="0.25">
      <c r="B119" s="156"/>
      <c r="C119" s="157"/>
      <c r="D119" s="53"/>
      <c r="E119" s="138"/>
      <c r="F119" s="125"/>
      <c r="G119" s="105"/>
      <c r="K119" s="137"/>
      <c r="M119" s="45"/>
      <c r="N119" s="138"/>
      <c r="O119" s="105"/>
      <c r="P119" s="132"/>
      <c r="Q119" s="108"/>
      <c r="T119" s="139"/>
      <c r="U119" s="108"/>
      <c r="V119" s="45"/>
      <c r="W119" s="138"/>
      <c r="X119" s="105"/>
      <c r="Y119" s="132"/>
      <c r="AE119" s="108"/>
      <c r="AF119" s="108"/>
      <c r="AG119" s="108"/>
      <c r="AH119" s="108"/>
      <c r="AI119" s="108"/>
      <c r="AJ119" s="108"/>
      <c r="AK119" s="108"/>
      <c r="AL119" s="108"/>
      <c r="AN119" s="108"/>
      <c r="AO119" s="108"/>
      <c r="AP119" s="108"/>
      <c r="AQ119" s="108"/>
      <c r="AR119" s="108"/>
      <c r="AS119" s="108"/>
      <c r="AT119" s="108"/>
    </row>
    <row r="120" spans="2:46" ht="15.75" x14ac:dyDescent="0.25">
      <c r="B120" s="54"/>
      <c r="C120" s="733" t="s">
        <v>347</v>
      </c>
      <c r="D120" s="733"/>
      <c r="E120" s="733"/>
      <c r="F120" s="26"/>
      <c r="G120" s="43"/>
      <c r="H120" s="73"/>
      <c r="K120" s="137"/>
      <c r="M120" s="45"/>
      <c r="N120" s="138"/>
      <c r="O120" s="105"/>
      <c r="P120" s="132"/>
      <c r="Q120" s="108"/>
      <c r="T120" s="139"/>
      <c r="U120" s="108"/>
      <c r="V120" s="45"/>
      <c r="W120" s="138"/>
      <c r="X120" s="105"/>
      <c r="Y120" s="132"/>
      <c r="AE120" s="108"/>
      <c r="AF120" s="108"/>
      <c r="AG120" s="108"/>
      <c r="AH120" s="108"/>
      <c r="AI120" s="108"/>
      <c r="AJ120" s="108"/>
      <c r="AK120" s="108"/>
      <c r="AL120" s="108"/>
      <c r="AN120" s="108"/>
      <c r="AO120" s="108"/>
      <c r="AP120" s="108"/>
      <c r="AQ120" s="108"/>
      <c r="AR120" s="108"/>
      <c r="AS120" s="108"/>
      <c r="AT120" s="108"/>
    </row>
    <row r="121" spans="2:46" ht="15.75" x14ac:dyDescent="0.25">
      <c r="B121" s="26"/>
      <c r="C121" s="91" t="s">
        <v>392</v>
      </c>
      <c r="D121" s="644"/>
      <c r="E121" s="94" t="s">
        <v>358</v>
      </c>
      <c r="F121" s="26"/>
      <c r="G121" s="26"/>
      <c r="H121" s="73"/>
      <c r="K121" s="102"/>
      <c r="M121" s="45"/>
      <c r="N121" s="138"/>
      <c r="O121" s="105"/>
      <c r="P121" s="132"/>
      <c r="Q121" s="108"/>
      <c r="T121" s="130"/>
      <c r="U121" s="108"/>
      <c r="V121" s="45"/>
      <c r="W121" s="138"/>
      <c r="X121" s="105"/>
      <c r="Y121" s="132"/>
      <c r="AE121" s="108"/>
      <c r="AF121" s="108"/>
      <c r="AG121" s="108"/>
      <c r="AH121" s="108"/>
      <c r="AI121" s="108"/>
      <c r="AJ121" s="108"/>
      <c r="AK121" s="108"/>
      <c r="AL121" s="108"/>
      <c r="AN121" s="108"/>
      <c r="AO121" s="108"/>
      <c r="AP121" s="108"/>
      <c r="AQ121" s="108"/>
      <c r="AR121" s="108"/>
      <c r="AS121" s="108"/>
      <c r="AT121" s="108"/>
    </row>
    <row r="122" spans="2:46" ht="15.75" x14ac:dyDescent="0.25">
      <c r="B122" s="73"/>
      <c r="C122" s="91" t="s">
        <v>134</v>
      </c>
      <c r="D122" s="670"/>
      <c r="E122" s="25"/>
      <c r="F122" s="26"/>
      <c r="G122" s="26"/>
      <c r="H122" s="73"/>
      <c r="K122" s="102"/>
      <c r="M122" s="45"/>
      <c r="N122" s="138"/>
      <c r="O122" s="105"/>
      <c r="P122" s="132"/>
      <c r="Q122" s="108"/>
      <c r="T122" s="130"/>
      <c r="U122" s="108"/>
      <c r="V122" s="45"/>
      <c r="W122" s="138"/>
      <c r="X122" s="105"/>
      <c r="Y122" s="132"/>
      <c r="AE122" s="108"/>
      <c r="AF122" s="108"/>
      <c r="AG122" s="108"/>
      <c r="AH122" s="108"/>
      <c r="AI122" s="108"/>
      <c r="AJ122" s="108"/>
      <c r="AK122" s="108"/>
      <c r="AL122" s="108"/>
      <c r="AN122" s="108"/>
      <c r="AO122" s="108"/>
      <c r="AP122" s="108"/>
      <c r="AQ122" s="108"/>
      <c r="AR122" s="108"/>
      <c r="AS122" s="108"/>
      <c r="AT122" s="108"/>
    </row>
    <row r="123" spans="2:46" ht="15.75" x14ac:dyDescent="0.25">
      <c r="B123" s="26"/>
      <c r="C123" s="91" t="s">
        <v>257</v>
      </c>
      <c r="D123" s="644"/>
      <c r="E123" s="94" t="s">
        <v>190</v>
      </c>
      <c r="F123" s="26"/>
      <c r="G123" s="26"/>
      <c r="H123" s="73"/>
      <c r="M123" s="45"/>
      <c r="N123" s="138"/>
      <c r="O123" s="105"/>
      <c r="P123" s="132"/>
      <c r="Q123" s="108"/>
      <c r="T123" s="130"/>
      <c r="U123" s="108"/>
      <c r="V123" s="45"/>
      <c r="W123" s="138"/>
      <c r="X123" s="105"/>
      <c r="Y123" s="132"/>
      <c r="AE123" s="108"/>
      <c r="AF123" s="108"/>
      <c r="AG123" s="108"/>
      <c r="AH123" s="108"/>
      <c r="AI123" s="108"/>
      <c r="AJ123" s="108"/>
      <c r="AK123" s="108"/>
      <c r="AL123" s="108"/>
      <c r="AN123" s="108"/>
      <c r="AO123" s="108"/>
      <c r="AP123" s="108"/>
      <c r="AQ123" s="108"/>
      <c r="AR123" s="108"/>
      <c r="AS123" s="108"/>
      <c r="AT123" s="108"/>
    </row>
    <row r="124" spans="2:46" ht="6" customHeight="1" x14ac:dyDescent="0.25">
      <c r="B124" s="75"/>
      <c r="C124" s="157"/>
      <c r="D124" s="53"/>
      <c r="E124" s="75"/>
      <c r="F124" s="125"/>
      <c r="G124" s="132"/>
      <c r="H124" s="108"/>
      <c r="M124" s="45"/>
      <c r="N124" s="138"/>
      <c r="O124" s="105"/>
      <c r="P124" s="132"/>
      <c r="Q124" s="108"/>
      <c r="T124" s="130"/>
      <c r="U124" s="108"/>
      <c r="V124" s="45"/>
      <c r="W124" s="138"/>
      <c r="X124" s="105"/>
      <c r="Y124" s="132"/>
      <c r="AE124" s="108"/>
      <c r="AF124" s="108"/>
      <c r="AG124" s="108"/>
      <c r="AH124" s="108"/>
      <c r="AI124" s="108"/>
      <c r="AJ124" s="108"/>
      <c r="AK124" s="108"/>
      <c r="AL124" s="108"/>
      <c r="AN124" s="108"/>
      <c r="AO124" s="108"/>
      <c r="AP124" s="108"/>
      <c r="AQ124" s="108"/>
      <c r="AR124" s="108"/>
      <c r="AS124" s="108"/>
      <c r="AT124" s="108"/>
    </row>
    <row r="125" spans="2:46" ht="18.75" customHeight="1" x14ac:dyDescent="0.25">
      <c r="B125" s="54"/>
      <c r="C125" s="730" t="s">
        <v>466</v>
      </c>
      <c r="D125" s="730"/>
      <c r="E125" s="730"/>
      <c r="F125" s="26"/>
      <c r="G125" s="43"/>
      <c r="H125" s="73"/>
      <c r="M125" s="45"/>
      <c r="N125" s="138"/>
      <c r="O125" s="105"/>
      <c r="P125" s="132"/>
      <c r="Q125" s="108"/>
      <c r="T125" s="130"/>
      <c r="U125" s="108"/>
      <c r="V125" s="45"/>
      <c r="W125" s="138"/>
      <c r="X125" s="105"/>
      <c r="Y125" s="132"/>
      <c r="AE125" s="108"/>
      <c r="AF125" s="108"/>
      <c r="AG125" s="108"/>
      <c r="AH125" s="108"/>
      <c r="AI125" s="108"/>
      <c r="AJ125" s="108"/>
      <c r="AK125" s="108"/>
      <c r="AL125" s="108"/>
      <c r="AN125" s="108"/>
      <c r="AO125" s="108"/>
      <c r="AP125" s="108"/>
      <c r="AQ125" s="108"/>
      <c r="AR125" s="108"/>
      <c r="AS125" s="108"/>
      <c r="AT125" s="108"/>
    </row>
    <row r="126" spans="2:46" ht="15.75" x14ac:dyDescent="0.25">
      <c r="B126" s="26"/>
      <c r="C126" s="91" t="s">
        <v>392</v>
      </c>
      <c r="D126" s="644"/>
      <c r="E126" s="94" t="s">
        <v>358</v>
      </c>
      <c r="F126" s="26"/>
      <c r="G126" s="26"/>
      <c r="H126" s="73"/>
      <c r="M126" s="45"/>
      <c r="N126" s="138"/>
      <c r="O126" s="105"/>
      <c r="P126" s="132"/>
      <c r="Q126" s="108"/>
      <c r="T126" s="130"/>
      <c r="U126" s="108"/>
      <c r="V126" s="45"/>
      <c r="W126" s="138"/>
      <c r="X126" s="105"/>
      <c r="Y126" s="132"/>
      <c r="AE126" s="108"/>
      <c r="AF126" s="108"/>
      <c r="AG126" s="108"/>
      <c r="AH126" s="108"/>
      <c r="AI126" s="108"/>
      <c r="AJ126" s="108"/>
      <c r="AK126" s="108"/>
      <c r="AL126" s="108"/>
      <c r="AN126" s="108"/>
      <c r="AO126" s="108"/>
      <c r="AP126" s="108"/>
      <c r="AQ126" s="108"/>
      <c r="AR126" s="108"/>
      <c r="AS126" s="108"/>
      <c r="AT126" s="108"/>
    </row>
    <row r="127" spans="2:46" x14ac:dyDescent="0.25">
      <c r="B127" s="73"/>
      <c r="C127" s="91" t="s">
        <v>134</v>
      </c>
      <c r="D127" s="670"/>
      <c r="E127" s="25"/>
      <c r="F127" s="26"/>
      <c r="G127" s="26"/>
      <c r="H127" s="73"/>
      <c r="K127" s="106"/>
      <c r="M127" s="108"/>
      <c r="N127" s="108"/>
      <c r="O127" s="108"/>
      <c r="P127" s="108"/>
      <c r="Q127" s="108"/>
      <c r="AE127" s="108"/>
      <c r="AF127" s="108"/>
      <c r="AG127" s="108"/>
      <c r="AH127" s="108"/>
      <c r="AI127" s="108"/>
      <c r="AJ127" s="108"/>
      <c r="AK127" s="108"/>
      <c r="AL127" s="108"/>
      <c r="AN127" s="108"/>
      <c r="AO127" s="108"/>
      <c r="AP127" s="108"/>
      <c r="AQ127" s="108"/>
      <c r="AR127" s="108"/>
      <c r="AS127" s="108"/>
      <c r="AT127" s="108"/>
    </row>
    <row r="128" spans="2:46" x14ac:dyDescent="0.25">
      <c r="B128" s="26"/>
      <c r="C128" s="91" t="s">
        <v>257</v>
      </c>
      <c r="D128" s="644"/>
      <c r="E128" s="94" t="s">
        <v>190</v>
      </c>
      <c r="F128" s="26"/>
      <c r="G128" s="26"/>
      <c r="H128" s="73"/>
      <c r="AE128" s="108"/>
      <c r="AF128" s="108"/>
      <c r="AG128" s="108"/>
      <c r="AH128" s="108"/>
      <c r="AI128" s="108"/>
      <c r="AJ128" s="108"/>
      <c r="AK128" s="108"/>
      <c r="AL128" s="108"/>
      <c r="AN128" s="108"/>
      <c r="AO128" s="108"/>
      <c r="AP128" s="108"/>
      <c r="AQ128" s="108"/>
      <c r="AR128" s="108"/>
      <c r="AS128" s="108"/>
      <c r="AT128" s="108"/>
    </row>
    <row r="129" spans="2:46" ht="6" customHeight="1" x14ac:dyDescent="0.25">
      <c r="B129" s="54"/>
      <c r="C129" s="54"/>
      <c r="D129" s="54"/>
      <c r="E129" s="54"/>
      <c r="F129" s="54"/>
      <c r="G129" s="54"/>
      <c r="H129" s="54"/>
      <c r="AE129" s="108"/>
      <c r="AF129" s="108"/>
      <c r="AG129" s="108"/>
      <c r="AH129" s="108"/>
      <c r="AI129" s="108"/>
      <c r="AJ129" s="108"/>
      <c r="AK129" s="108"/>
      <c r="AL129" s="108"/>
      <c r="AN129" s="108"/>
      <c r="AO129" s="108"/>
      <c r="AP129" s="108"/>
      <c r="AQ129" s="108"/>
      <c r="AR129" s="108"/>
      <c r="AS129" s="108"/>
      <c r="AT129" s="108"/>
    </row>
    <row r="130" spans="2:46" ht="6" customHeight="1" x14ac:dyDescent="0.25">
      <c r="D130" s="85"/>
      <c r="AE130" s="108"/>
      <c r="AF130" s="108"/>
      <c r="AG130" s="108"/>
      <c r="AH130" s="108"/>
      <c r="AI130" s="108"/>
      <c r="AJ130" s="108"/>
      <c r="AK130" s="108"/>
      <c r="AL130" s="108"/>
      <c r="AN130" s="108"/>
      <c r="AO130" s="108"/>
      <c r="AP130" s="108"/>
      <c r="AQ130" s="108"/>
      <c r="AR130" s="108"/>
      <c r="AS130" s="108"/>
      <c r="AT130" s="108"/>
    </row>
    <row r="131" spans="2:46" x14ac:dyDescent="0.25">
      <c r="B131" s="25"/>
      <c r="C131" s="93" t="s">
        <v>845</v>
      </c>
      <c r="D131" s="644"/>
      <c r="E131" s="94" t="s">
        <v>363</v>
      </c>
      <c r="F131" s="27"/>
      <c r="G131" s="27"/>
      <c r="H131" s="73"/>
      <c r="AE131" s="108"/>
      <c r="AF131" s="108"/>
      <c r="AG131" s="108"/>
      <c r="AH131" s="108"/>
      <c r="AI131" s="108"/>
      <c r="AJ131" s="108"/>
      <c r="AK131" s="108"/>
      <c r="AL131" s="108"/>
      <c r="AN131" s="108"/>
      <c r="AO131" s="108"/>
      <c r="AP131" s="108"/>
      <c r="AQ131" s="108"/>
      <c r="AR131" s="108"/>
      <c r="AS131" s="108"/>
      <c r="AT131" s="108"/>
    </row>
    <row r="132" spans="2:46" x14ac:dyDescent="0.25">
      <c r="B132" s="25"/>
      <c r="C132" s="93" t="s">
        <v>846</v>
      </c>
      <c r="D132" s="644"/>
      <c r="E132" s="94" t="s">
        <v>363</v>
      </c>
      <c r="F132" s="27"/>
      <c r="G132" s="27"/>
      <c r="H132" s="73"/>
      <c r="AE132" s="108"/>
      <c r="AF132" s="108"/>
      <c r="AG132" s="108"/>
      <c r="AH132" s="108"/>
      <c r="AI132" s="108"/>
      <c r="AJ132" s="108"/>
      <c r="AK132" s="108"/>
      <c r="AL132" s="108"/>
      <c r="AN132" s="108"/>
      <c r="AO132" s="108"/>
      <c r="AP132" s="108"/>
      <c r="AQ132" s="108"/>
      <c r="AR132" s="108"/>
      <c r="AS132" s="108"/>
      <c r="AT132" s="108"/>
    </row>
    <row r="133" spans="2:46" x14ac:dyDescent="0.25">
      <c r="B133" s="25"/>
      <c r="C133" s="93" t="s">
        <v>847</v>
      </c>
      <c r="D133" s="644"/>
      <c r="E133" s="94" t="s">
        <v>363</v>
      </c>
      <c r="F133" s="27"/>
      <c r="G133" s="27"/>
      <c r="H133" s="73"/>
      <c r="AE133" s="108"/>
      <c r="AF133" s="108"/>
      <c r="AG133" s="108"/>
      <c r="AH133" s="108"/>
      <c r="AI133" s="108"/>
      <c r="AJ133" s="108"/>
      <c r="AK133" s="108"/>
      <c r="AL133" s="108"/>
      <c r="AN133" s="108"/>
      <c r="AO133" s="108"/>
      <c r="AP133" s="108"/>
      <c r="AQ133" s="108"/>
      <c r="AR133" s="108"/>
      <c r="AS133" s="108"/>
      <c r="AT133" s="108"/>
    </row>
    <row r="134" spans="2:46" x14ac:dyDescent="0.25">
      <c r="B134" s="25"/>
      <c r="C134" s="93" t="s">
        <v>922</v>
      </c>
      <c r="D134" s="644"/>
      <c r="E134" s="94" t="s">
        <v>378</v>
      </c>
      <c r="F134" s="141" t="s">
        <v>924</v>
      </c>
      <c r="G134" s="646"/>
      <c r="H134" s="410" t="s">
        <v>709</v>
      </c>
      <c r="J134" s="108"/>
      <c r="K134" s="108"/>
      <c r="L134" s="108"/>
      <c r="M134" s="108"/>
      <c r="N134" s="108"/>
      <c r="O134" s="108"/>
      <c r="P134" s="108"/>
      <c r="Q134" s="108"/>
      <c r="R134" s="108"/>
      <c r="S134" s="108"/>
      <c r="T134" s="108"/>
      <c r="U134" s="108"/>
      <c r="V134" s="108"/>
      <c r="W134" s="108"/>
      <c r="X134" s="108"/>
      <c r="Y134" s="108"/>
      <c r="Z134" s="108"/>
      <c r="AA134" s="108"/>
      <c r="AB134" s="664"/>
      <c r="AC134" s="108"/>
      <c r="AE134" s="108"/>
      <c r="AF134" s="108"/>
      <c r="AG134" s="108"/>
      <c r="AH134" s="108"/>
      <c r="AI134" s="108"/>
      <c r="AJ134" s="108"/>
      <c r="AK134" s="108"/>
      <c r="AL134" s="108"/>
      <c r="AN134" s="108"/>
      <c r="AO134" s="108"/>
      <c r="AP134" s="108"/>
      <c r="AQ134" s="108"/>
      <c r="AR134" s="108"/>
      <c r="AS134" s="108"/>
      <c r="AT134" s="108"/>
    </row>
    <row r="135" spans="2:46" x14ac:dyDescent="0.25">
      <c r="B135" s="25"/>
      <c r="C135" s="93" t="s">
        <v>923</v>
      </c>
      <c r="D135" s="644"/>
      <c r="E135" s="94" t="s">
        <v>378</v>
      </c>
      <c r="F135" s="141" t="s">
        <v>924</v>
      </c>
      <c r="G135" s="646"/>
      <c r="H135" s="410" t="s">
        <v>709</v>
      </c>
      <c r="AA135" s="85" t="str">
        <f>IF(AND(G135&lt;=50,G135&gt;=30,G135=ROUND(G135,2)),G135,"")</f>
        <v/>
      </c>
      <c r="AE135" s="108"/>
      <c r="AF135" s="108"/>
      <c r="AG135" s="108"/>
      <c r="AH135" s="108"/>
      <c r="AI135" s="108"/>
      <c r="AJ135" s="108"/>
      <c r="AK135" s="108"/>
      <c r="AL135" s="108"/>
      <c r="AN135" s="108"/>
      <c r="AO135" s="108"/>
      <c r="AP135" s="108"/>
      <c r="AQ135" s="108"/>
      <c r="AR135" s="108"/>
      <c r="AS135" s="108"/>
      <c r="AT135" s="108"/>
    </row>
    <row r="136" spans="2:46" x14ac:dyDescent="0.25">
      <c r="B136" s="25"/>
      <c r="C136" s="93" t="s">
        <v>376</v>
      </c>
      <c r="D136" s="644">
        <v>0.09</v>
      </c>
      <c r="E136" s="94" t="s">
        <v>377</v>
      </c>
      <c r="F136" s="27"/>
      <c r="G136" s="27"/>
      <c r="H136" s="73"/>
      <c r="AE136" s="108"/>
      <c r="AF136" s="108"/>
      <c r="AG136" s="108"/>
      <c r="AH136" s="108"/>
      <c r="AI136" s="108"/>
      <c r="AJ136" s="108"/>
      <c r="AK136" s="108"/>
      <c r="AL136" s="108"/>
      <c r="AN136" s="108"/>
      <c r="AO136" s="108"/>
      <c r="AP136" s="108"/>
      <c r="AQ136" s="108"/>
      <c r="AR136" s="108"/>
      <c r="AS136" s="108"/>
      <c r="AT136" s="108"/>
    </row>
    <row r="137" spans="2:46" x14ac:dyDescent="0.25">
      <c r="B137" s="25"/>
      <c r="C137" s="93" t="s">
        <v>375</v>
      </c>
      <c r="D137" s="644"/>
      <c r="E137" s="94" t="s">
        <v>377</v>
      </c>
      <c r="F137" s="27"/>
      <c r="G137" s="27"/>
      <c r="H137" s="73"/>
      <c r="AE137" s="108"/>
      <c r="AF137" s="108"/>
      <c r="AG137" s="108"/>
      <c r="AH137" s="108"/>
      <c r="AI137" s="108"/>
      <c r="AJ137" s="108"/>
      <c r="AK137" s="108"/>
      <c r="AL137" s="108"/>
      <c r="AN137" s="108"/>
      <c r="AO137" s="108"/>
      <c r="AP137" s="108"/>
      <c r="AQ137" s="108"/>
      <c r="AR137" s="108"/>
      <c r="AS137" s="108"/>
      <c r="AT137" s="108"/>
    </row>
    <row r="138" spans="2:46" x14ac:dyDescent="0.25">
      <c r="B138" s="25"/>
      <c r="C138" s="93" t="s">
        <v>372</v>
      </c>
      <c r="D138" s="644"/>
      <c r="E138" s="94" t="s">
        <v>377</v>
      </c>
      <c r="F138" s="27"/>
      <c r="G138" s="39"/>
      <c r="H138" s="73"/>
      <c r="AE138" s="108"/>
      <c r="AF138" s="108"/>
      <c r="AG138" s="108"/>
      <c r="AH138" s="108"/>
      <c r="AI138" s="108"/>
      <c r="AJ138" s="108"/>
      <c r="AK138" s="108"/>
      <c r="AL138" s="108"/>
      <c r="AN138" s="108"/>
      <c r="AO138" s="108"/>
      <c r="AP138" s="108"/>
      <c r="AQ138" s="108"/>
      <c r="AR138" s="108"/>
      <c r="AS138" s="108"/>
      <c r="AT138" s="108"/>
    </row>
    <row r="139" spans="2:46" x14ac:dyDescent="0.25">
      <c r="B139" s="25"/>
      <c r="C139" s="93" t="s">
        <v>373</v>
      </c>
      <c r="D139" s="644"/>
      <c r="E139" s="94" t="s">
        <v>377</v>
      </c>
      <c r="F139" s="27"/>
      <c r="G139" s="39"/>
      <c r="H139" s="73"/>
      <c r="AE139" s="108"/>
      <c r="AF139" s="108"/>
      <c r="AG139" s="108"/>
      <c r="AH139" s="108"/>
      <c r="AI139" s="108"/>
      <c r="AJ139" s="108"/>
      <c r="AK139" s="108"/>
      <c r="AL139" s="108"/>
      <c r="AN139" s="108"/>
      <c r="AO139" s="108"/>
      <c r="AP139" s="108"/>
      <c r="AQ139" s="108"/>
      <c r="AR139" s="108"/>
      <c r="AS139" s="108"/>
      <c r="AT139" s="108"/>
    </row>
    <row r="140" spans="2:46" x14ac:dyDescent="0.25">
      <c r="B140" s="25"/>
      <c r="C140" s="93" t="s">
        <v>374</v>
      </c>
      <c r="D140" s="644"/>
      <c r="E140" s="94" t="s">
        <v>377</v>
      </c>
      <c r="F140" s="27"/>
      <c r="G140" s="39"/>
      <c r="H140" s="73"/>
      <c r="AE140" s="108"/>
      <c r="AF140" s="108"/>
      <c r="AG140" s="108"/>
      <c r="AH140" s="108"/>
      <c r="AI140" s="108"/>
      <c r="AJ140" s="108"/>
      <c r="AK140" s="108"/>
      <c r="AL140" s="108"/>
      <c r="AN140" s="108"/>
      <c r="AO140" s="108"/>
      <c r="AP140" s="108"/>
      <c r="AQ140" s="108"/>
      <c r="AR140" s="108"/>
      <c r="AS140" s="108"/>
      <c r="AT140" s="108"/>
    </row>
    <row r="141" spans="2:46" ht="6" customHeight="1" x14ac:dyDescent="0.25">
      <c r="B141" s="25"/>
      <c r="C141" s="25"/>
      <c r="D141" s="647"/>
      <c r="E141" s="25"/>
      <c r="F141" s="25"/>
      <c r="G141" s="25"/>
      <c r="H141" s="25"/>
      <c r="AE141" s="108"/>
      <c r="AF141" s="108"/>
      <c r="AG141" s="108"/>
      <c r="AH141" s="108"/>
      <c r="AI141" s="108"/>
      <c r="AJ141" s="108"/>
      <c r="AK141" s="108"/>
      <c r="AL141" s="108"/>
      <c r="AN141" s="108"/>
      <c r="AO141" s="108"/>
      <c r="AP141" s="108"/>
      <c r="AQ141" s="108"/>
      <c r="AR141" s="108"/>
      <c r="AS141" s="108"/>
      <c r="AT141" s="108"/>
    </row>
    <row r="142" spans="2:46" x14ac:dyDescent="0.25">
      <c r="D142" s="85"/>
      <c r="AE142" s="108"/>
      <c r="AF142" s="108"/>
      <c r="AG142" s="108"/>
      <c r="AH142" s="108"/>
      <c r="AI142" s="108"/>
      <c r="AJ142" s="108"/>
      <c r="AK142" s="108"/>
      <c r="AL142" s="108"/>
      <c r="AN142" s="108"/>
      <c r="AO142" s="108"/>
      <c r="AP142" s="108"/>
      <c r="AQ142" s="108"/>
      <c r="AR142" s="108"/>
      <c r="AS142" s="108"/>
      <c r="AT142" s="108"/>
    </row>
    <row r="143" spans="2:46" ht="18.75" x14ac:dyDescent="0.25">
      <c r="B143" s="732" t="s">
        <v>961</v>
      </c>
      <c r="C143" s="732"/>
      <c r="D143" s="732"/>
      <c r="E143" s="732"/>
      <c r="F143" s="732"/>
      <c r="G143" s="732"/>
      <c r="H143" s="732"/>
      <c r="AE143" s="108"/>
      <c r="AF143" s="108"/>
      <c r="AG143" s="108"/>
      <c r="AH143" s="108"/>
      <c r="AI143" s="108"/>
      <c r="AJ143" s="108"/>
      <c r="AK143" s="108"/>
      <c r="AL143" s="108"/>
      <c r="AN143" s="108"/>
      <c r="AO143" s="108"/>
      <c r="AP143" s="108"/>
      <c r="AQ143" s="108"/>
      <c r="AR143" s="108"/>
      <c r="AS143" s="108"/>
      <c r="AT143" s="108"/>
    </row>
    <row r="144" spans="2:46" ht="6" customHeight="1" x14ac:dyDescent="0.25">
      <c r="B144" s="149"/>
      <c r="C144" s="149"/>
      <c r="D144" s="149"/>
      <c r="E144" s="149"/>
      <c r="F144" s="149"/>
      <c r="G144" s="149"/>
      <c r="AE144" s="108"/>
      <c r="AF144" s="108"/>
      <c r="AG144" s="108"/>
      <c r="AH144" s="108"/>
      <c r="AI144" s="108"/>
      <c r="AJ144" s="108"/>
      <c r="AK144" s="108"/>
      <c r="AL144" s="108"/>
      <c r="AN144" s="108"/>
      <c r="AO144" s="108"/>
      <c r="AP144" s="108"/>
      <c r="AQ144" s="108"/>
      <c r="AR144" s="108"/>
      <c r="AS144" s="108"/>
      <c r="AT144" s="108"/>
    </row>
    <row r="145" spans="2:10" x14ac:dyDescent="0.25">
      <c r="B145" s="54"/>
      <c r="C145" s="730" t="s">
        <v>45</v>
      </c>
      <c r="D145" s="730"/>
      <c r="E145" s="730"/>
      <c r="F145" s="26"/>
      <c r="G145" s="43"/>
      <c r="H145" s="73"/>
    </row>
    <row r="146" spans="2:10" x14ac:dyDescent="0.25">
      <c r="B146" s="26"/>
      <c r="C146" s="91" t="s">
        <v>278</v>
      </c>
      <c r="D146" s="670">
        <v>0</v>
      </c>
      <c r="E146" s="660"/>
      <c r="F146" s="26"/>
      <c r="G146" s="26"/>
      <c r="H146" s="73"/>
      <c r="J146" s="658"/>
    </row>
    <row r="147" spans="2:10" x14ac:dyDescent="0.25">
      <c r="B147" s="26"/>
      <c r="C147" s="91" t="s">
        <v>714</v>
      </c>
      <c r="D147" s="670">
        <v>0</v>
      </c>
      <c r="E147" s="659" t="str">
        <f>IF((SUM(D146:D148)=1),"","A soma das porcentagens de distribuição deve ser igual a 100%!")</f>
        <v>A soma das porcentagens de distribuição deve ser igual a 100%!</v>
      </c>
      <c r="F147" s="26"/>
      <c r="G147" s="26"/>
      <c r="H147" s="73"/>
    </row>
    <row r="148" spans="2:10" x14ac:dyDescent="0.25">
      <c r="B148" s="26"/>
      <c r="C148" s="91" t="s">
        <v>894</v>
      </c>
      <c r="D148" s="670">
        <v>0</v>
      </c>
      <c r="E148" s="25"/>
      <c r="F148" s="26"/>
      <c r="G148" s="26"/>
      <c r="H148" s="73"/>
    </row>
    <row r="149" spans="2:10" ht="6" customHeight="1" x14ac:dyDescent="0.25">
      <c r="B149" s="26"/>
      <c r="C149" s="26"/>
      <c r="D149" s="25"/>
      <c r="E149" s="25"/>
      <c r="F149" s="26"/>
      <c r="G149" s="26"/>
      <c r="H149" s="73"/>
    </row>
    <row r="150" spans="2:10" ht="6" customHeight="1" x14ac:dyDescent="0.25">
      <c r="B150" s="156"/>
      <c r="C150" s="735"/>
      <c r="D150" s="735"/>
      <c r="E150" s="735"/>
      <c r="F150" s="125"/>
      <c r="G150" s="105"/>
    </row>
    <row r="151" spans="2:10" x14ac:dyDescent="0.25">
      <c r="B151" s="54"/>
      <c r="C151" s="730" t="s">
        <v>46</v>
      </c>
      <c r="D151" s="730"/>
      <c r="E151" s="730"/>
      <c r="F151" s="26"/>
      <c r="G151" s="43"/>
      <c r="H151" s="73"/>
    </row>
    <row r="152" spans="2:10" x14ac:dyDescent="0.25">
      <c r="B152" s="26"/>
      <c r="C152" s="91" t="s">
        <v>278</v>
      </c>
      <c r="D152" s="670">
        <v>1</v>
      </c>
      <c r="E152" s="25"/>
      <c r="F152" s="26"/>
      <c r="G152" s="26"/>
      <c r="H152" s="73"/>
    </row>
    <row r="153" spans="2:10" x14ac:dyDescent="0.25">
      <c r="B153" s="26"/>
      <c r="C153" s="91" t="s">
        <v>714</v>
      </c>
      <c r="D153" s="670">
        <v>0</v>
      </c>
      <c r="E153" s="659" t="str">
        <f>IF((SUM(D152:D154)=1),"","A soma das porcentagens de distribuição deve ser igual a 100%!")</f>
        <v/>
      </c>
      <c r="F153" s="26"/>
      <c r="G153" s="26"/>
      <c r="H153" s="73"/>
    </row>
    <row r="154" spans="2:10" x14ac:dyDescent="0.25">
      <c r="B154" s="26"/>
      <c r="C154" s="91" t="s">
        <v>894</v>
      </c>
      <c r="D154" s="670">
        <v>0</v>
      </c>
      <c r="E154" s="25"/>
      <c r="F154" s="26"/>
      <c r="G154" s="26"/>
      <c r="H154" s="73"/>
    </row>
    <row r="155" spans="2:10" ht="6" customHeight="1" x14ac:dyDescent="0.25">
      <c r="B155" s="26"/>
      <c r="C155" s="26"/>
      <c r="D155" s="25"/>
      <c r="E155" s="25"/>
      <c r="F155" s="26"/>
      <c r="G155" s="26"/>
      <c r="H155" s="73"/>
    </row>
    <row r="160" spans="2:10" x14ac:dyDescent="0.25">
      <c r="D160" s="85"/>
    </row>
    <row r="161" spans="4:4" x14ac:dyDescent="0.25">
      <c r="D161" s="85"/>
    </row>
    <row r="162" spans="4:4" x14ac:dyDescent="0.25">
      <c r="D162" s="85"/>
    </row>
    <row r="163" spans="4:4" x14ac:dyDescent="0.25">
      <c r="D163" s="85"/>
    </row>
    <row r="164" spans="4:4" x14ac:dyDescent="0.25">
      <c r="D164" s="85"/>
    </row>
    <row r="165" spans="4:4" x14ac:dyDescent="0.25">
      <c r="D165" s="85"/>
    </row>
    <row r="166" spans="4:4" x14ac:dyDescent="0.25">
      <c r="D166" s="85"/>
    </row>
    <row r="167" spans="4:4" x14ac:dyDescent="0.25">
      <c r="D167" s="85"/>
    </row>
    <row r="168" spans="4:4" x14ac:dyDescent="0.25">
      <c r="D168" s="85"/>
    </row>
    <row r="169" spans="4:4" x14ac:dyDescent="0.25">
      <c r="D169" s="85"/>
    </row>
    <row r="170" spans="4:4" x14ac:dyDescent="0.25">
      <c r="D170" s="85"/>
    </row>
    <row r="171" spans="4:4" x14ac:dyDescent="0.25">
      <c r="D171" s="85"/>
    </row>
    <row r="172" spans="4:4" x14ac:dyDescent="0.25">
      <c r="D172" s="85"/>
    </row>
    <row r="173" spans="4:4" x14ac:dyDescent="0.25">
      <c r="D173" s="85"/>
    </row>
    <row r="174" spans="4:4" x14ac:dyDescent="0.25">
      <c r="D174" s="85"/>
    </row>
    <row r="175" spans="4:4" x14ac:dyDescent="0.25">
      <c r="D175" s="85"/>
    </row>
    <row r="176" spans="4:4" x14ac:dyDescent="0.25">
      <c r="D176" s="85"/>
    </row>
    <row r="177" spans="4:4" x14ac:dyDescent="0.25">
      <c r="D177" s="85"/>
    </row>
    <row r="178" spans="4:4" x14ac:dyDescent="0.25">
      <c r="D178" s="85"/>
    </row>
    <row r="179" spans="4:4" x14ac:dyDescent="0.25">
      <c r="D179" s="85"/>
    </row>
    <row r="180" spans="4:4" x14ac:dyDescent="0.25">
      <c r="D180" s="85"/>
    </row>
    <row r="181" spans="4:4" x14ac:dyDescent="0.25">
      <c r="D181" s="85"/>
    </row>
    <row r="182" spans="4:4" x14ac:dyDescent="0.25">
      <c r="D182" s="85"/>
    </row>
    <row r="183" spans="4:4" x14ac:dyDescent="0.25">
      <c r="D183" s="85"/>
    </row>
    <row r="184" spans="4:4" x14ac:dyDescent="0.25">
      <c r="D184" s="85"/>
    </row>
    <row r="185" spans="4:4" x14ac:dyDescent="0.25">
      <c r="D185" s="85"/>
    </row>
    <row r="186" spans="4:4" x14ac:dyDescent="0.25">
      <c r="D186" s="85"/>
    </row>
    <row r="187" spans="4:4" x14ac:dyDescent="0.25">
      <c r="D187" s="85"/>
    </row>
    <row r="188" spans="4:4" x14ac:dyDescent="0.25">
      <c r="D188" s="85"/>
    </row>
    <row r="189" spans="4:4" x14ac:dyDescent="0.25">
      <c r="D189" s="85"/>
    </row>
    <row r="190" spans="4:4" x14ac:dyDescent="0.25">
      <c r="D190" s="85"/>
    </row>
    <row r="191" spans="4:4" x14ac:dyDescent="0.25">
      <c r="D191" s="85"/>
    </row>
    <row r="192" spans="4:4" x14ac:dyDescent="0.25">
      <c r="D192" s="85"/>
    </row>
    <row r="193" spans="4:4" x14ac:dyDescent="0.25">
      <c r="D193" s="85"/>
    </row>
    <row r="194" spans="4:4" x14ac:dyDescent="0.25">
      <c r="D194" s="85"/>
    </row>
    <row r="195" spans="4:4" x14ac:dyDescent="0.25">
      <c r="D195" s="85"/>
    </row>
    <row r="196" spans="4:4" x14ac:dyDescent="0.25">
      <c r="D196" s="85"/>
    </row>
    <row r="197" spans="4:4" x14ac:dyDescent="0.25">
      <c r="D197" s="85"/>
    </row>
    <row r="198" spans="4:4" x14ac:dyDescent="0.25">
      <c r="D198" s="85"/>
    </row>
    <row r="199" spans="4:4" x14ac:dyDescent="0.25">
      <c r="D199" s="85"/>
    </row>
    <row r="200" spans="4:4" x14ac:dyDescent="0.25">
      <c r="D200" s="85"/>
    </row>
    <row r="201" spans="4:4" x14ac:dyDescent="0.25">
      <c r="D201" s="85"/>
    </row>
    <row r="202" spans="4:4" x14ac:dyDescent="0.25">
      <c r="D202" s="85"/>
    </row>
    <row r="203" spans="4:4" x14ac:dyDescent="0.25">
      <c r="D203" s="85"/>
    </row>
    <row r="204" spans="4:4" x14ac:dyDescent="0.25">
      <c r="D204" s="85"/>
    </row>
    <row r="205" spans="4:4" x14ac:dyDescent="0.25">
      <c r="D205" s="85"/>
    </row>
    <row r="206" spans="4:4" x14ac:dyDescent="0.25">
      <c r="D206" s="85"/>
    </row>
    <row r="207" spans="4:4" x14ac:dyDescent="0.25">
      <c r="D207" s="85"/>
    </row>
    <row r="208" spans="4:4" x14ac:dyDescent="0.25">
      <c r="D208" s="85"/>
    </row>
    <row r="209" spans="4:4" x14ac:dyDescent="0.25">
      <c r="D209" s="85"/>
    </row>
    <row r="210" spans="4:4" x14ac:dyDescent="0.25">
      <c r="D210" s="85"/>
    </row>
    <row r="211" spans="4:4" x14ac:dyDescent="0.25">
      <c r="D211" s="85"/>
    </row>
    <row r="212" spans="4:4" x14ac:dyDescent="0.25">
      <c r="D212" s="85"/>
    </row>
    <row r="213" spans="4:4" x14ac:dyDescent="0.25">
      <c r="D213" s="85"/>
    </row>
    <row r="214" spans="4:4" x14ac:dyDescent="0.25">
      <c r="D214" s="85"/>
    </row>
    <row r="215" spans="4:4" x14ac:dyDescent="0.25">
      <c r="D215" s="85"/>
    </row>
    <row r="216" spans="4:4" x14ac:dyDescent="0.25">
      <c r="D216" s="85"/>
    </row>
    <row r="217" spans="4:4" x14ac:dyDescent="0.25">
      <c r="D217" s="85"/>
    </row>
    <row r="218" spans="4:4" x14ac:dyDescent="0.25">
      <c r="D218" s="85"/>
    </row>
    <row r="219" spans="4:4" x14ac:dyDescent="0.25">
      <c r="D219" s="85"/>
    </row>
    <row r="220" spans="4:4" x14ac:dyDescent="0.25">
      <c r="D220" s="85"/>
    </row>
    <row r="221" spans="4:4" x14ac:dyDescent="0.25">
      <c r="D221" s="85"/>
    </row>
    <row r="222" spans="4:4" x14ac:dyDescent="0.25">
      <c r="D222" s="85"/>
    </row>
    <row r="223" spans="4:4" x14ac:dyDescent="0.25">
      <c r="D223" s="85"/>
    </row>
    <row r="224" spans="4:4" x14ac:dyDescent="0.25">
      <c r="D224" s="85"/>
    </row>
    <row r="225" spans="4:4" x14ac:dyDescent="0.25">
      <c r="D225" s="85"/>
    </row>
    <row r="226" spans="4:4" x14ac:dyDescent="0.25">
      <c r="D226" s="85"/>
    </row>
    <row r="227" spans="4:4" x14ac:dyDescent="0.25">
      <c r="D227" s="85"/>
    </row>
    <row r="228" spans="4:4" x14ac:dyDescent="0.25">
      <c r="D228" s="85"/>
    </row>
    <row r="229" spans="4:4" x14ac:dyDescent="0.25">
      <c r="D229" s="85"/>
    </row>
    <row r="230" spans="4:4" x14ac:dyDescent="0.25">
      <c r="D230" s="85"/>
    </row>
    <row r="231" spans="4:4" x14ac:dyDescent="0.25">
      <c r="D231" s="85"/>
    </row>
    <row r="232" spans="4:4" x14ac:dyDescent="0.25">
      <c r="D232" s="85"/>
    </row>
    <row r="233" spans="4:4" x14ac:dyDescent="0.25">
      <c r="D233" s="85"/>
    </row>
    <row r="234" spans="4:4" x14ac:dyDescent="0.25">
      <c r="D234" s="85"/>
    </row>
    <row r="235" spans="4:4" x14ac:dyDescent="0.25">
      <c r="D235" s="85"/>
    </row>
    <row r="236" spans="4:4" x14ac:dyDescent="0.25">
      <c r="D236" s="85"/>
    </row>
    <row r="237" spans="4:4" x14ac:dyDescent="0.25">
      <c r="D237" s="85"/>
    </row>
    <row r="238" spans="4:4" x14ac:dyDescent="0.25">
      <c r="D238" s="85"/>
    </row>
    <row r="239" spans="4:4" x14ac:dyDescent="0.25">
      <c r="D239" s="85"/>
    </row>
    <row r="240" spans="4:4" x14ac:dyDescent="0.25">
      <c r="D240" s="85"/>
    </row>
    <row r="241" spans="4:4" x14ac:dyDescent="0.25">
      <c r="D241" s="85"/>
    </row>
    <row r="242" spans="4:4" x14ac:dyDescent="0.25">
      <c r="D242" s="85"/>
    </row>
    <row r="243" spans="4:4" x14ac:dyDescent="0.25">
      <c r="D243" s="85"/>
    </row>
    <row r="244" spans="4:4" x14ac:dyDescent="0.25">
      <c r="D244" s="85"/>
    </row>
    <row r="245" spans="4:4" x14ac:dyDescent="0.25">
      <c r="D245" s="85"/>
    </row>
    <row r="246" spans="4:4" x14ac:dyDescent="0.25">
      <c r="D246" s="85"/>
    </row>
    <row r="247" spans="4:4" x14ac:dyDescent="0.25">
      <c r="D247" s="85"/>
    </row>
    <row r="248" spans="4:4" x14ac:dyDescent="0.25">
      <c r="D248" s="85"/>
    </row>
    <row r="249" spans="4:4" x14ac:dyDescent="0.25">
      <c r="D249" s="85"/>
    </row>
    <row r="250" spans="4:4" x14ac:dyDescent="0.25">
      <c r="D250" s="85"/>
    </row>
    <row r="251" spans="4:4" x14ac:dyDescent="0.25">
      <c r="D251" s="85"/>
    </row>
    <row r="252" spans="4:4" x14ac:dyDescent="0.25">
      <c r="D252" s="85"/>
    </row>
    <row r="253" spans="4:4" x14ac:dyDescent="0.25">
      <c r="D253" s="85"/>
    </row>
    <row r="254" spans="4:4" x14ac:dyDescent="0.25">
      <c r="D254" s="85"/>
    </row>
    <row r="255" spans="4:4" x14ac:dyDescent="0.25">
      <c r="D255" s="85"/>
    </row>
    <row r="256" spans="4:4" x14ac:dyDescent="0.25">
      <c r="D256" s="85"/>
    </row>
    <row r="257" spans="4:4" x14ac:dyDescent="0.25">
      <c r="D257" s="85"/>
    </row>
    <row r="258" spans="4:4" x14ac:dyDescent="0.25">
      <c r="D258" s="85"/>
    </row>
    <row r="259" spans="4:4" x14ac:dyDescent="0.25">
      <c r="D259" s="85"/>
    </row>
    <row r="260" spans="4:4" x14ac:dyDescent="0.25">
      <c r="D260" s="85"/>
    </row>
    <row r="261" spans="4:4" x14ac:dyDescent="0.25">
      <c r="D261" s="85"/>
    </row>
    <row r="262" spans="4:4" x14ac:dyDescent="0.25">
      <c r="D262" s="85"/>
    </row>
    <row r="263" spans="4:4" x14ac:dyDescent="0.25">
      <c r="D263" s="85"/>
    </row>
    <row r="264" spans="4:4" x14ac:dyDescent="0.25">
      <c r="D264" s="85"/>
    </row>
    <row r="265" spans="4:4" x14ac:dyDescent="0.25">
      <c r="D265" s="85"/>
    </row>
    <row r="266" spans="4:4" x14ac:dyDescent="0.25">
      <c r="D266" s="85"/>
    </row>
    <row r="267" spans="4:4" x14ac:dyDescent="0.25">
      <c r="D267" s="85"/>
    </row>
    <row r="268" spans="4:4" x14ac:dyDescent="0.25">
      <c r="D268" s="85"/>
    </row>
    <row r="269" spans="4:4" x14ac:dyDescent="0.25">
      <c r="D269" s="85"/>
    </row>
    <row r="270" spans="4:4" x14ac:dyDescent="0.25">
      <c r="D270" s="85"/>
    </row>
    <row r="271" spans="4:4" x14ac:dyDescent="0.25">
      <c r="D271" s="85"/>
    </row>
    <row r="272" spans="4:4" x14ac:dyDescent="0.25">
      <c r="D272" s="85"/>
    </row>
    <row r="273" spans="4:4" x14ac:dyDescent="0.25">
      <c r="D273" s="85"/>
    </row>
    <row r="274" spans="4:4" x14ac:dyDescent="0.25">
      <c r="D274" s="85"/>
    </row>
    <row r="275" spans="4:4" x14ac:dyDescent="0.25">
      <c r="D275" s="85"/>
    </row>
    <row r="276" spans="4:4" x14ac:dyDescent="0.25">
      <c r="D276" s="85"/>
    </row>
    <row r="277" spans="4:4" x14ac:dyDescent="0.25">
      <c r="D277" s="85"/>
    </row>
    <row r="278" spans="4:4" x14ac:dyDescent="0.25">
      <c r="D278" s="85"/>
    </row>
    <row r="279" spans="4:4" x14ac:dyDescent="0.25">
      <c r="D279" s="85"/>
    </row>
    <row r="280" spans="4:4" x14ac:dyDescent="0.25">
      <c r="D280" s="85"/>
    </row>
    <row r="281" spans="4:4" x14ac:dyDescent="0.25">
      <c r="D281" s="85"/>
    </row>
    <row r="282" spans="4:4" x14ac:dyDescent="0.25">
      <c r="D282" s="85"/>
    </row>
    <row r="283" spans="4:4" x14ac:dyDescent="0.25">
      <c r="D283" s="85"/>
    </row>
    <row r="284" spans="4:4" x14ac:dyDescent="0.25">
      <c r="D284" s="85"/>
    </row>
    <row r="285" spans="4:4" x14ac:dyDescent="0.25">
      <c r="D285" s="85"/>
    </row>
    <row r="286" spans="4:4" x14ac:dyDescent="0.25">
      <c r="D286" s="85"/>
    </row>
    <row r="287" spans="4:4" x14ac:dyDescent="0.25">
      <c r="D287" s="85"/>
    </row>
    <row r="288" spans="4:4" x14ac:dyDescent="0.25">
      <c r="D288" s="85"/>
    </row>
    <row r="289" spans="4:4" x14ac:dyDescent="0.25">
      <c r="D289" s="85"/>
    </row>
    <row r="290" spans="4:4" x14ac:dyDescent="0.25">
      <c r="D290" s="85"/>
    </row>
    <row r="291" spans="4:4" x14ac:dyDescent="0.25">
      <c r="D291" s="85"/>
    </row>
    <row r="292" spans="4:4" x14ac:dyDescent="0.25">
      <c r="D292" s="85"/>
    </row>
    <row r="293" spans="4:4" x14ac:dyDescent="0.25">
      <c r="D293" s="85"/>
    </row>
    <row r="294" spans="4:4" x14ac:dyDescent="0.25">
      <c r="D294" s="85"/>
    </row>
    <row r="295" spans="4:4" x14ac:dyDescent="0.25">
      <c r="D295" s="85"/>
    </row>
    <row r="296" spans="4:4" x14ac:dyDescent="0.25">
      <c r="D296" s="85"/>
    </row>
    <row r="297" spans="4:4" x14ac:dyDescent="0.25">
      <c r="D297" s="85"/>
    </row>
    <row r="298" spans="4:4" x14ac:dyDescent="0.25">
      <c r="D298" s="85"/>
    </row>
    <row r="299" spans="4:4" x14ac:dyDescent="0.25">
      <c r="D299" s="85"/>
    </row>
    <row r="300" spans="4:4" x14ac:dyDescent="0.25">
      <c r="D300" s="85"/>
    </row>
    <row r="301" spans="4:4" x14ac:dyDescent="0.25">
      <c r="D301" s="85"/>
    </row>
    <row r="302" spans="4:4" x14ac:dyDescent="0.25">
      <c r="D302" s="85"/>
    </row>
    <row r="303" spans="4:4" x14ac:dyDescent="0.25">
      <c r="D303" s="85"/>
    </row>
    <row r="304" spans="4:4" x14ac:dyDescent="0.25">
      <c r="D304" s="85"/>
    </row>
    <row r="305" spans="4:4" x14ac:dyDescent="0.25">
      <c r="D305" s="85"/>
    </row>
    <row r="306" spans="4:4" x14ac:dyDescent="0.25">
      <c r="D306" s="85"/>
    </row>
    <row r="307" spans="4:4" x14ac:dyDescent="0.25">
      <c r="D307" s="85"/>
    </row>
    <row r="308" spans="4:4" x14ac:dyDescent="0.25">
      <c r="D308" s="85"/>
    </row>
    <row r="309" spans="4:4" x14ac:dyDescent="0.25">
      <c r="D309" s="85"/>
    </row>
    <row r="310" spans="4:4" x14ac:dyDescent="0.25">
      <c r="D310" s="85"/>
    </row>
    <row r="311" spans="4:4" x14ac:dyDescent="0.25">
      <c r="D311" s="85"/>
    </row>
    <row r="312" spans="4:4" x14ac:dyDescent="0.25">
      <c r="D312" s="85"/>
    </row>
    <row r="313" spans="4:4" x14ac:dyDescent="0.25">
      <c r="D313" s="85"/>
    </row>
    <row r="314" spans="4:4" x14ac:dyDescent="0.25">
      <c r="D314" s="85"/>
    </row>
    <row r="315" spans="4:4" x14ac:dyDescent="0.25">
      <c r="D315" s="85"/>
    </row>
    <row r="316" spans="4:4" x14ac:dyDescent="0.25">
      <c r="D316" s="85"/>
    </row>
    <row r="317" spans="4:4" x14ac:dyDescent="0.25">
      <c r="D317" s="85"/>
    </row>
    <row r="318" spans="4:4" x14ac:dyDescent="0.25">
      <c r="D318" s="85"/>
    </row>
    <row r="319" spans="4:4" x14ac:dyDescent="0.25">
      <c r="D319" s="85"/>
    </row>
    <row r="320" spans="4:4" x14ac:dyDescent="0.25">
      <c r="D320" s="85"/>
    </row>
    <row r="321" spans="4:4" x14ac:dyDescent="0.25">
      <c r="D321" s="85"/>
    </row>
    <row r="322" spans="4:4" x14ac:dyDescent="0.25">
      <c r="D322" s="85"/>
    </row>
    <row r="323" spans="4:4" x14ac:dyDescent="0.25">
      <c r="D323" s="85"/>
    </row>
    <row r="324" spans="4:4" x14ac:dyDescent="0.25">
      <c r="D324" s="85"/>
    </row>
    <row r="325" spans="4:4" x14ac:dyDescent="0.25">
      <c r="D325" s="85"/>
    </row>
    <row r="326" spans="4:4" x14ac:dyDescent="0.25">
      <c r="D326" s="85"/>
    </row>
    <row r="327" spans="4:4" x14ac:dyDescent="0.25">
      <c r="D327" s="85"/>
    </row>
    <row r="328" spans="4:4" x14ac:dyDescent="0.25">
      <c r="D328" s="85"/>
    </row>
    <row r="329" spans="4:4" x14ac:dyDescent="0.25">
      <c r="D329" s="85"/>
    </row>
    <row r="330" spans="4:4" x14ac:dyDescent="0.25">
      <c r="D330" s="85"/>
    </row>
    <row r="331" spans="4:4" x14ac:dyDescent="0.25">
      <c r="D331" s="85"/>
    </row>
    <row r="332" spans="4:4" x14ac:dyDescent="0.25">
      <c r="D332" s="85"/>
    </row>
    <row r="333" spans="4:4" x14ac:dyDescent="0.25">
      <c r="D333" s="85"/>
    </row>
    <row r="334" spans="4:4" x14ac:dyDescent="0.25">
      <c r="D334" s="85"/>
    </row>
    <row r="335" spans="4:4" x14ac:dyDescent="0.25">
      <c r="D335" s="85"/>
    </row>
    <row r="336" spans="4:4" x14ac:dyDescent="0.25">
      <c r="D336" s="85"/>
    </row>
    <row r="337" spans="4:4" x14ac:dyDescent="0.25">
      <c r="D337" s="85"/>
    </row>
    <row r="338" spans="4:4" x14ac:dyDescent="0.25">
      <c r="D338" s="85"/>
    </row>
    <row r="339" spans="4:4" x14ac:dyDescent="0.25">
      <c r="D339" s="85"/>
    </row>
    <row r="340" spans="4:4" x14ac:dyDescent="0.25">
      <c r="D340" s="85"/>
    </row>
    <row r="341" spans="4:4" x14ac:dyDescent="0.25">
      <c r="D341" s="85"/>
    </row>
    <row r="342" spans="4:4" x14ac:dyDescent="0.25">
      <c r="D342" s="85"/>
    </row>
    <row r="343" spans="4:4" x14ac:dyDescent="0.25">
      <c r="D343" s="85"/>
    </row>
    <row r="344" spans="4:4" x14ac:dyDescent="0.25">
      <c r="D344" s="85"/>
    </row>
    <row r="345" spans="4:4" x14ac:dyDescent="0.25">
      <c r="D345" s="85"/>
    </row>
    <row r="346" spans="4:4" x14ac:dyDescent="0.25">
      <c r="D346" s="85"/>
    </row>
    <row r="347" spans="4:4" x14ac:dyDescent="0.25">
      <c r="D347" s="85"/>
    </row>
    <row r="348" spans="4:4" x14ac:dyDescent="0.25">
      <c r="D348" s="85"/>
    </row>
    <row r="349" spans="4:4" x14ac:dyDescent="0.25">
      <c r="D349" s="85"/>
    </row>
    <row r="350" spans="4:4" x14ac:dyDescent="0.25">
      <c r="D350" s="85"/>
    </row>
    <row r="351" spans="4:4" x14ac:dyDescent="0.25">
      <c r="D351" s="85"/>
    </row>
    <row r="352" spans="4:4" x14ac:dyDescent="0.25">
      <c r="D352" s="85"/>
    </row>
    <row r="353" spans="4:4" x14ac:dyDescent="0.25">
      <c r="D353" s="85"/>
    </row>
    <row r="354" spans="4:4" x14ac:dyDescent="0.25">
      <c r="D354" s="85"/>
    </row>
    <row r="355" spans="4:4" x14ac:dyDescent="0.25">
      <c r="D355" s="85"/>
    </row>
    <row r="356" spans="4:4" x14ac:dyDescent="0.25">
      <c r="D356" s="85"/>
    </row>
    <row r="357" spans="4:4" x14ac:dyDescent="0.25">
      <c r="D357" s="85"/>
    </row>
  </sheetData>
  <sheetProtection password="E2B3" sheet="1" objects="1" scenarios="1" selectLockedCells="1"/>
  <mergeCells count="55">
    <mergeCell ref="B61:H61"/>
    <mergeCell ref="B24:H24"/>
    <mergeCell ref="T35:Z35"/>
    <mergeCell ref="T38:Z38"/>
    <mergeCell ref="D15:F15"/>
    <mergeCell ref="AE23:AK23"/>
    <mergeCell ref="AE24:AK24"/>
    <mergeCell ref="AE43:AK43"/>
    <mergeCell ref="C145:E145"/>
    <mergeCell ref="C150:E150"/>
    <mergeCell ref="C110:E110"/>
    <mergeCell ref="C115:E115"/>
    <mergeCell ref="B143:H143"/>
    <mergeCell ref="B96:H96"/>
    <mergeCell ref="B23:H23"/>
    <mergeCell ref="C105:E105"/>
    <mergeCell ref="C97:E97"/>
    <mergeCell ref="C101:E101"/>
    <mergeCell ref="K23:Q23"/>
    <mergeCell ref="T23:Z23"/>
    <mergeCell ref="T24:Z24"/>
    <mergeCell ref="C151:E151"/>
    <mergeCell ref="AE61:AK61"/>
    <mergeCell ref="AE68:AK68"/>
    <mergeCell ref="AE35:AK35"/>
    <mergeCell ref="AE38:AK38"/>
    <mergeCell ref="B87:H87"/>
    <mergeCell ref="T43:Z43"/>
    <mergeCell ref="K61:Q61"/>
    <mergeCell ref="T61:Z61"/>
    <mergeCell ref="K68:Q68"/>
    <mergeCell ref="T68:Z68"/>
    <mergeCell ref="B86:H86"/>
    <mergeCell ref="B68:H68"/>
    <mergeCell ref="B38:H38"/>
    <mergeCell ref="C120:E120"/>
    <mergeCell ref="C125:E125"/>
    <mergeCell ref="C4:H4"/>
    <mergeCell ref="C6:H6"/>
    <mergeCell ref="C8:H8"/>
    <mergeCell ref="C10:D10"/>
    <mergeCell ref="K43:Q43"/>
    <mergeCell ref="K35:Q35"/>
    <mergeCell ref="K38:Q38"/>
    <mergeCell ref="B35:H35"/>
    <mergeCell ref="K24:Q24"/>
    <mergeCell ref="C13:D13"/>
    <mergeCell ref="B43:H43"/>
    <mergeCell ref="AN61:AT61"/>
    <mergeCell ref="AN68:AT68"/>
    <mergeCell ref="AN23:AT23"/>
    <mergeCell ref="AN24:AT24"/>
    <mergeCell ref="AN35:AT35"/>
    <mergeCell ref="AN38:AT38"/>
    <mergeCell ref="AN43:AT43"/>
  </mergeCells>
  <conditionalFormatting sqref="D34 D42 D37 D67 D60 D84 V42 V84 V34 V67 V37 AG42 AG67 AG84 M84 M67 M60 M42 M37 M34 AP42 AP67 AP84 D141">
    <cfRule type="expression" dxfId="31" priority="69">
      <formula>$B$23</formula>
    </cfRule>
  </conditionalFormatting>
  <dataValidations xWindow="559" yWindow="838" count="84">
    <dataValidation type="decimal" allowBlank="1" showInputMessage="1" showErrorMessage="1" error="Número inválido. Este campo admite números com até duas casas decimais." prompt="Quantidade anual consumida de calcário dolomítico na área total, dividida pelo valor informado no campo Produção Total" sqref="M40" xr:uid="{00000000-0002-0000-0300-000000000000}">
      <formula1>0</formula1>
      <formula2>99.99</formula2>
    </dataValidation>
    <dataValidation type="decimal" allowBlank="1" showInputMessage="1" showErrorMessage="1" error="Número inválido. Este campo admite números com até duas casas decimais." prompt="Corresponde à soma das áreas (referentes à área total anteriormente informada) que sofreram: _x000a_- queima com autorização para colheita_x000a_- queima acidental _x000a_- queima criminosa_x000a_- queima para eliminação de resíduos culturais" sqref="M36" xr:uid="{00000000-0002-0000-0300-000001000000}">
      <formula1>0.01</formula1>
      <formula2>99999999.99</formula2>
    </dataValidation>
    <dataValidation type="decimal" allowBlank="1" showInputMessage="1" showErrorMessage="1" error="Número inválido. Podem ser preenchidos números com até duas casas decimais." prompt="Área total da unidade de produção, ou seja, soma das áreas colhida, de produção de mudas, de reforma, de cana de ano e meio e de cana bisada. " sqref="M27" xr:uid="{00000000-0002-0000-0300-000002000000}">
      <formula1>0.01</formula1>
      <formula2>99999999.99</formula2>
    </dataValidation>
    <dataValidation type="decimal" allowBlank="1" showInputMessage="1" showErrorMessage="1" error="Número inválido. Podem ser preenchidos números com até duas casas decimais." prompt="Quantidade total de produto produzido na área total de produção._x000a_Refere-se ao total anual de cana colhida destinada à moagem (soma de colmos, impurezas vegetais e minerais). Este parâmetro deve ser reportado em base úmida._x000a_" sqref="M29:M30" xr:uid="{00000000-0002-0000-0300-000003000000}">
      <formula1>0.01</formula1>
      <formula2>99999999.99</formula2>
    </dataValidation>
    <dataValidation type="decimal" allowBlank="1" showInputMessage="1" showErrorMessage="1" error="Número inválido. Podem ser preenchidos números com até duas casas decimais." prompt="Refere-se ao teor médio de impurezas vegetais contido na cana. Deve ser reportado em base úmida." sqref="M31" xr:uid="{00000000-0002-0000-0300-000004000000}">
      <formula1>0.01</formula1>
      <formula2>999.99</formula2>
    </dataValidation>
    <dataValidation type="decimal" allowBlank="1" showInputMessage="1" showErrorMessage="1" error="Número inválido." prompt="Refere-se ao teor médio de umidade das impurezas vegetais." sqref="P31 G31" xr:uid="{00000000-0002-0000-0300-000005000000}">
      <formula1>0</formula1>
      <formula2>1</formula2>
    </dataValidation>
    <dataValidation type="decimal" allowBlank="1" showInputMessage="1" showErrorMessage="1" error="Número inválido. Podem ser preenchidos números com até duas casas decimais." prompt="Refere-se ao teor médio de impurezas minerais contido na cana." sqref="M32" xr:uid="{00000000-0002-0000-0300-000006000000}">
      <formula1>0.01</formula1>
      <formula2>999.99</formula2>
    </dataValidation>
    <dataValidation type="decimal" allowBlank="1" showInputMessage="1" showErrorMessage="1" error="Número inválido. O campo admite números com até duas casas decimais." prompt="Refere-se à quantidade total de palha recolhida anualmente na área total de produção. Este parâmetro refere-se à palha recolhida separadamente da cana (por exemplo, palha enfardada, palha recolhida por forrageira, entre outros)." sqref="M33" xr:uid="{00000000-0002-0000-0300-000007000000}">
      <formula1>0.01</formula1>
      <formula2>9999.99</formula2>
    </dataValidation>
    <dataValidation allowBlank="1" showInputMessage="1" showErrorMessage="1" prompt="Quantidade consumida de cada corretivo (calcário calcítico, calcário dolomítico e gesso agrícola) na área total, dividida pela quantidade de cana." sqref="M40" xr:uid="{00000000-0002-0000-0300-000008000000}"/>
    <dataValidation type="custom" allowBlank="1" showInputMessage="1" showErrorMessage="1" error="Número inválido. Este campo admite números com até duas casas decimais." prompt="Quantidade anual consumida de  K₂O por fonte na área total, dividida pelo valor informado no campo Produção Total Colhida para Moagem   " sqref="M56" xr:uid="{00000000-0002-0000-0300-000009000000}">
      <formula1>IF(AND(M56&lt;100,M56=ROUND(M56,2)),M56,"")</formula1>
    </dataValidation>
    <dataValidation type="decimal" allowBlank="1" showInputMessage="1" showErrorMessage="1" error="Número inválido. Este campo admite números com até duas casas decimais." prompt="Quantidade anual consumida de N  na área total na forma especificada na coluna à esquerda, dividida pelo valor informado no campo Produção Total  Colhida para Moagem" sqref="M57" xr:uid="{00000000-0002-0000-0300-00000A000000}">
      <formula1>0</formula1>
      <formula2>99.99</formula2>
    </dataValidation>
    <dataValidation type="decimal" allowBlank="1" showInputMessage="1" showErrorMessage="1" error="Número inválido. Este campo admite números com até duas casas decimais." prompt="Quantidade anual consumida de  P₂O₅  na área total na forma especificada na coluna à esquerda, dividida pelo valor informado no campo Produção Total Colhida para Moagem" sqref="M58" xr:uid="{00000000-0002-0000-0300-00000B000000}">
      <formula1>0</formula1>
      <formula2>99.99</formula2>
    </dataValidation>
    <dataValidation type="decimal" allowBlank="1" showInputMessage="1" showErrorMessage="1" error="Número inválido. Este campo admite números com até duas casas decimais." prompt="Quantidade anual consumida de  K₂O na área total na forma especificada na coluna à esquerda, dividida pelo valor informado no campo Produção Total Colhida para Moagem" sqref="M59" xr:uid="{00000000-0002-0000-0300-00000C000000}">
      <formula1>0</formula1>
      <formula2>99.99</formula2>
    </dataValidation>
    <dataValidation type="decimal" allowBlank="1" showInputMessage="1" showErrorMessage="1" error="Número inválido. Este campo admite números com até duas casas decimais." prompt="Quantidade anual consumida de fertilizantes por fonte (vinhaça, torta de filtro, cinzas e fuligem, outros) na área total, dividida pelo valor informado no campo Produção Total Colhida para Moagem" sqref="M62:M66" xr:uid="{00000000-0002-0000-0300-00000D000000}">
      <formula1>0</formula1>
      <formula2>9999.99</formula2>
    </dataValidation>
    <dataValidation type="decimal" allowBlank="1" showInputMessage="1" showErrorMessage="1" error="Número inválido. Este campo admite números com até duas casas decimais." prompt="Informar a concentração de nitrogênio em cada fonte." sqref="P62:P66" xr:uid="{00000000-0002-0000-0300-00000E000000}">
      <formula1>0.01</formula1>
      <formula2>999.99</formula2>
    </dataValidation>
    <dataValidation allowBlank="1" showInputMessage="1" showErrorMessage="1" prompt="Quantidade total anual de combustíveis (soma do consumo nas operações agrícolas, irrigação, transportes da cana, palha, vinhaça, torta de filtro, cinzas, deslocamento de pessoas, etc) na área total dividida pelo valor informado no campo Produção Total" sqref="M78" xr:uid="{00000000-0002-0000-0300-00000F000000}"/>
    <dataValidation type="decimal" allowBlank="1" showInputMessage="1" showErrorMessage="1" error="Número inválido. Este campo admite números com até duas casas decimais." prompt="Quantidade total anual de eletricidade consumida na área total dividida pelo valor informado no campo Produção Total Colhida para Moagem." sqref="M83" xr:uid="{00000000-0002-0000-0300-000010000000}">
      <formula1>0</formula1>
      <formula2>999.99</formula2>
    </dataValidation>
    <dataValidation type="decimal" allowBlank="1" showInputMessage="1" showErrorMessage="1" error="Número inválido" prompt="No campo BX, X representa o teor de mistura de biodiesel vigente no ano de referência para o preenchimento." sqref="P71" xr:uid="{00000000-0002-0000-0300-000011000000}">
      <formula1>0</formula1>
      <formula2>1</formula2>
    </dataValidation>
    <dataValidation type="decimal" showInputMessage="1" showErrorMessage="1" error="Número inválido." prompt="Refere-se ao teor de umidade do bagaço comercializado." sqref="G94" xr:uid="{00000000-0002-0000-0300-000012000000}">
      <formula1>0</formula1>
      <formula2>1</formula2>
    </dataValidation>
    <dataValidation type="decimal" allowBlank="1" showInputMessage="1" showErrorMessage="1" error="Número inválido." prompt="Teor de umidade:_x000a__x000a_Massa de água / Massa total" sqref="D117 D107 D122 D112 D127" xr:uid="{00000000-0002-0000-0300-000013000000}">
      <formula1>0</formula1>
      <formula2>1</formula2>
    </dataValidation>
    <dataValidation type="custom" allowBlank="1" showInputMessage="1" showErrorMessage="1" error="Número inválido. Este campo admite números com até duas casas decimais." prompt="Refere-se à distância média ponderada de transporte do bagaço entre o fornecedor e a usina." sqref="D108" xr:uid="{00000000-0002-0000-0300-000014000000}">
      <formula1>IF(AND(D108&gt;=0,D108=ROUND(D108,2)),D108,"")</formula1>
    </dataValidation>
    <dataValidation type="decimal" showInputMessage="1" showErrorMessage="1" error="Número inválido. Este campo admite números com até duas casas decimais." prompt="Refere-se ao percentual do volume de etanol anidro comercializado que é distribuido (distância percorrida da usina até o posto de combustível) via sistema logístico exclusivamente Rodoviário." sqref="D146" xr:uid="{00000000-0002-0000-0300-000015000000}">
      <formula1>0</formula1>
      <formula2>1</formula2>
    </dataValidation>
    <dataValidation type="decimal" allowBlank="1" showInputMessage="1" showErrorMessage="1" error="Número inválido. Este campo admite números com até duas casas decimais." prompt="Refere-se ao percentual do volume de etanol anidro comercializado que é distribuido (distância percorrida da usina até o posto de combustível) via sistema logístico &quot;Rodoviário + Dutoviário.&quot;" sqref="D147" xr:uid="{00000000-0002-0000-0300-000016000000}">
      <formula1>0</formula1>
      <formula2>1</formula2>
    </dataValidation>
    <dataValidation type="decimal" allowBlank="1" showInputMessage="1" showErrorMessage="1" error="Número inválido. Este campo admite números com até duas casas decimais." prompt="Refere-se ao percentual do volume de etanol anidro comercializado que é distribuido (distância percorrida da usina até o posto de combustível) via sistema logístico &quot;Rodoviário + Ferroviário&quot;." sqref="D148" xr:uid="{00000000-0002-0000-0300-000017000000}">
      <formula1>0</formula1>
      <formula2>1</formula2>
    </dataValidation>
    <dataValidation type="decimal" allowBlank="1" showInputMessage="1" showErrorMessage="1" error="Número inválido." prompt="Refere-se ao percentual do volume de etanol hidratado comercializado que é distribuido (distância percorrida da usina até o posto de combustível) via sistema logístico exclusivamente Rodoviário." sqref="D152" xr:uid="{00000000-0002-0000-0300-000018000000}">
      <formula1>0</formula1>
      <formula2>1</formula2>
    </dataValidation>
    <dataValidation type="decimal" allowBlank="1" showInputMessage="1" showErrorMessage="1" error="Número inválido." prompt="Refere-se ao percentual do volume de etanol hidratado comercializado que é distribuido (distância percorrida da usina até o posto de combustível) via sistema logístico &quot;Rodoviário + Dutoviário.&quot;" sqref="D153" xr:uid="{00000000-0002-0000-0300-000019000000}">
      <formula1>0</formula1>
      <formula2>1</formula2>
    </dataValidation>
    <dataValidation type="decimal" allowBlank="1" showInputMessage="1" showErrorMessage="1" error="Número inválido. " prompt="Refere-se ao percentual do volume de etanol hidratado comercializado que é distribuido (distância percorrida da usina até o posto de combustível) via sistema logístico &quot;Rodoviário + Ferroviário&quot;." sqref="D154" xr:uid="{00000000-0002-0000-0300-00001A000000}">
      <formula1>0</formula1>
      <formula2>1</formula2>
    </dataValidation>
    <dataValidation type="list" showInputMessage="1" showErrorMessage="1" error="Deve ser escolhida uma opção da lista suspensa." prompt="Defina o sistema de plantio realizado" sqref="M26" xr:uid="{00000000-0002-0000-0300-00001B000000}">
      <formula1>Sistema_Plantio</formula1>
    </dataValidation>
    <dataValidation type="list" allowBlank="1" showErrorMessage="1" sqref="C13:D13" xr:uid="{00000000-0002-0000-0300-00001C000000}">
      <formula1>Etanol</formula1>
    </dataValidation>
    <dataValidation type="list" showInputMessage="1" showErrorMessage="1" error="Deve ser escolhida uma opção da lista suspensa." prompt="Defina o sistema de plantio realizado." sqref="D26" xr:uid="{00000000-0002-0000-0300-00001D000000}">
      <formula1>Sistema_Plantio</formula1>
    </dataValidation>
    <dataValidation type="custom" allowBlank="1" showInputMessage="1" showErrorMessage="1" error="Número inválido. Este campo admite números com até duas casas decimais." prompt="Quantidade total anual de combustíveis consumidos dividida pelo valor informado no campo Quantidade de Cana Processada. Biogás/biometano próprio refere-se aqueles produzidos usando resíduos disponíveis na mesma unidade de produção. " sqref="AB134" xr:uid="{00000000-0002-0000-0300-00001E000000}">
      <formula1>IF(AND(AB134&lt;10000,AB134=ROUND(AB134,2)),AB134,"")</formula1>
    </dataValidation>
    <dataValidation type="custom" allowBlank="1" showInputMessage="1" showErrorMessage="1" error="Número inválido." prompt="Informar o Poder Calorífico Inferior (PCI) do biogás." sqref="G134:G135" xr:uid="{00000000-0002-0000-0300-00001F000000}">
      <formula1>IF(AND(G134&lt;=50,G134&gt;=30,G134=ROUND(G134,2)),G134,"")</formula1>
    </dataValidation>
    <dataValidation type="decimal" allowBlank="1" showInputMessage="1" showErrorMessage="1" error="Número inválido. Este campo admite números com até duas casas decimais." prompt="Quantidade anual consumida de calcário calcítico na área total, dividida pelo valor informado no campo Produção Total Colhida para Moagem" sqref="M39" xr:uid="{00000000-0002-0000-0300-000020000000}">
      <formula1>0</formula1>
      <formula2>99.99</formula2>
    </dataValidation>
    <dataValidation type="decimal" allowBlank="1" showInputMessage="1" showErrorMessage="1" error="Número inválido. Este campo admite números com até duas casas decimais." prompt="Quantidade anual consumida de gesso na área total, dividida pelo valor informado no campo Produção Total Colhida para Moagem" sqref="M41" xr:uid="{00000000-0002-0000-0300-000021000000}">
      <formula1>0</formula1>
      <formula2>99.99</formula2>
    </dataValidation>
    <dataValidation type="decimal" allowBlank="1" showInputMessage="1" showErrorMessage="1" error="Número inválido. Este campo admite números com até duas casas decimais." prompt="Quantidade anual consumida do elemento N por fonte na área total, dividida pelo valor informado no campo Produção Total Colhida para Moagem" sqref="M44:M45 M47 M49:M53" xr:uid="{00000000-0002-0000-0300-000022000000}">
      <formula1>0</formula1>
      <formula2>99.99</formula2>
    </dataValidation>
    <dataValidation type="decimal" allowBlank="1" showInputMessage="1" showErrorMessage="1" error="Número inválido. Este campo admite números com até duas casas decimais." prompt="Quantidade anual consumida de P₂O₅ por fonte na área total, dividida pelo valor informado no campo Produção Total Colhida para Moagem " sqref="M46 M48 M54:M55" xr:uid="{00000000-0002-0000-0300-000023000000}">
      <formula1>0</formula1>
      <formula2>99.99</formula2>
    </dataValidation>
    <dataValidation type="decimal" allowBlank="1" showInputMessage="1" showErrorMessage="1" error="Número inválido. Este campo admite números com até duas casas decimais." prompt="Quantidade total anual de combustíveis (soma do consumo nas operações agrícolas, irrigação, transportes da cana, palha, vinhaça, torta de filtro, cinzas, deslocamento de pessoas, etc) na área total dividida pelo valor informado no campo Produção Total" sqref="M69:M77" xr:uid="{00000000-0002-0000-0300-000024000000}">
      <formula1>0</formula1>
      <formula2>999.99</formula2>
    </dataValidation>
    <dataValidation type="decimal" allowBlank="1" showInputMessage="1" showErrorMessage="1" error="Número inválido. Este campo admite números com até duas casas decimais." prompt="Quantidade total anual de eletricidade consumida na área total dividida pelo valor informado no campo Produção Total Colhida para Moagem" sqref="M79:M82" xr:uid="{00000000-0002-0000-0300-000025000000}">
      <formula1>0</formula1>
      <formula2>999.99</formula2>
    </dataValidation>
    <dataValidation type="custom" allowBlank="1" showInputMessage="1" showErrorMessage="1" error="Número inválido. Podem ser preenchidos números com até duas casas decimais._x000a_" prompt="Área total da unidade de produção, ou seja, soma das áreas colhida, de produção de mudas, de reforma, de cana de ano e meio e de cana bisada. " sqref="D27" xr:uid="{00000000-0002-0000-0300-000026000000}">
      <formula1>IF(AND(D27&gt;=0,D27=ROUND(D27,2)),D27,"")</formula1>
    </dataValidation>
    <dataValidation type="decimal" allowBlank="1" showInputMessage="1" showErrorMessage="1" error="Número inválido." prompt="No campo BX, X representa o teor de mistura de biodiesel vigente no ano de referência para o preenchimento." sqref="G71" xr:uid="{00000000-0002-0000-0300-000027000000}">
      <formula1>0</formula1>
      <formula2>1</formula2>
    </dataValidation>
    <dataValidation allowBlank="1" showInputMessage="1" showErrorMessage="1" prompt="Esses dados devem ser preenchido de acordo com o resultado obtido na planilha de cadastro de produtores de biomassa." sqref="K23:Q23" xr:uid="{00000000-0002-0000-0300-000028000000}"/>
    <dataValidation type="decimal" allowBlank="1" showInputMessage="1" showErrorMessage="1" sqref="J146" xr:uid="{00000000-0002-0000-0300-000029000000}">
      <formula1>0</formula1>
      <formula2>1</formula2>
    </dataValidation>
    <dataValidation type="custom" allowBlank="1" showInputMessage="1" showErrorMessage="1" error="Número inválido. Podem ser preenchidos números com até duas casas decimais._x000a_" prompt="Quantidade total de produto produzido na área total de produção._x000a_Refere-se ao total anual de cana colhida destinada à moagem (soma de colmos, impurezas vegetais e minerais). Este parâmetro deve ser reportado em base úmida." sqref="D29" xr:uid="{00000000-0002-0000-0300-00002A000000}">
      <formula1>IF(AND(D29&gt;=0,D29=ROUND(D29,2)),D29,"")</formula1>
    </dataValidation>
    <dataValidation type="custom" allowBlank="1" showInputMessage="1" showErrorMessage="1" error="Número inválido. Podem ser preenchidos números com até duas casas decimais._x000a_" prompt="Refere-se ao teor médio de impurezas vegetais contido na cana. Deve ser reportado em base úmida." sqref="D31" xr:uid="{00000000-0002-0000-0300-00002B000000}">
      <formula1>IF(AND(D31&gt;=0,D31=ROUND(D31,2)),D31,"")</formula1>
    </dataValidation>
    <dataValidation type="custom" allowBlank="1" showInputMessage="1" showErrorMessage="1" error="Número inválido. Podem ser preenchidos números com até duas casas decimais._x000a_" prompt="Refere-se ao teor médio de impurezas minerais contido na cana._x000a_" sqref="D32" xr:uid="{00000000-0002-0000-0300-00002C000000}">
      <formula1>IF(AND(D32&gt;=0,D32=ROUND(D32,2)),D32,"")</formula1>
    </dataValidation>
    <dataValidation type="custom" allowBlank="1" showInputMessage="1" showErrorMessage="1" error="Número inválido. Podem ser preenchidos números com até duas casas decimais._x000a_" prompt="Refere-se à quantidade total de palha recolhida anualmente na área total de produção. Este parâmetro refere-se à palha recolhida separadamente da cana (por exemplo, palha enfardada, palha recolhida por forrageira, entre outros)." sqref="D33" xr:uid="{00000000-0002-0000-0300-00002D000000}">
      <formula1>IF(AND(D33&gt;=0,D33=ROUND(D33,2)),D33,"")</formula1>
    </dataValidation>
    <dataValidation type="custom" allowBlank="1" showInputMessage="1" showErrorMessage="1" error="Número inválido. Podem ser preenchidos números com até duas casas decimais._x000a_" prompt="Corresponde à soma das áreas (referentes à área total anteriormente informada) que sofreram: _x000a_- queima com autorização para colheita_x000a_- queima acidental _x000a_- queima criminosa_x000a_- queima para eliminação de resíduos culturais" sqref="D36" xr:uid="{00000000-0002-0000-0300-00002E000000}">
      <formula1>IF(AND(D36&gt;=0,D36=ROUND(D36,2)),D36,"")</formula1>
    </dataValidation>
    <dataValidation type="custom" allowBlank="1" showInputMessage="1" showErrorMessage="1" error="Número inválido. Podem ser preenchidos números com até duas casas decimais._x000a_" prompt="Quantidade anual consumida de calcário calcítico na área total, dividida pelo valor informado no campo Produção Total Colhida para Moagem" sqref="D39:D40" xr:uid="{00000000-0002-0000-0300-00002F000000}">
      <formula1>IF(AND(D39&gt;=0,D39=ROUND(D39,2)),D39,"")</formula1>
    </dataValidation>
    <dataValidation type="custom" allowBlank="1" showInputMessage="1" showErrorMessage="1" error="Número inválido. Podem ser preenchidos números com até duas casas decimais._x000a_" prompt="Quantidade anual consumida de gesso na área total, dividida pelo valor informado no campo Produção Total Colhida para Moagem" sqref="D41" xr:uid="{00000000-0002-0000-0300-000030000000}">
      <formula1>IF(AND(D41&gt;=0,D41=ROUND(D41,2)),D41,"")</formula1>
    </dataValidation>
    <dataValidation type="custom" allowBlank="1" showInputMessage="1" showErrorMessage="1" error="Número inválido. Podem ser preenchidos números com até duas casas decimais._x000a_" prompt="Quantidade anual consumida do elemento N por fonte na área total, dividida pelo valor informado no campo Produção Total Colhida para Moagem." sqref="D44:D45" xr:uid="{00000000-0002-0000-0300-000031000000}">
      <formula1>IF(AND(D44&gt;=0,D44=ROUND(D44,2)),D44,"")</formula1>
    </dataValidation>
    <dataValidation type="custom" allowBlank="1" showInputMessage="1" showErrorMessage="1" error="Número inválido. Podem ser preenchidos números com até duas casas decimais._x000a_" prompt="Quantidade anual consumida de P₂O₅ por fonte na área total, dividida pelo valor informado no campo Produção Total Colhida para Moagem " sqref="D46 D58 D54:D55 D48" xr:uid="{00000000-0002-0000-0300-000032000000}">
      <formula1>IF(AND(D46&gt;=0,D46=ROUND(D46,2)),D46,"")</formula1>
    </dataValidation>
    <dataValidation type="custom" allowBlank="1" showInputMessage="1" showErrorMessage="1" error="Número inválido. Podem ser preenchidos números com até duas casas decimais._x000a_" prompt="Quantidade anual consumida do elemento N por fonte na área total, dividida pelo valor informado no campo Produção Total Colhida para Moagem_x000a_" sqref="D47 D57" xr:uid="{00000000-0002-0000-0300-000033000000}">
      <formula1>IF(AND(D47&gt;=0,D47=ROUND(D47,2)),D47,"")</formula1>
    </dataValidation>
    <dataValidation type="custom" allowBlank="1" showInputMessage="1" showErrorMessage="1" error="Número inválido. Podem ser preenchidos números com até duas casas decimais._x000a_" prompt="Quantidade anual consumida do elemento N por fonte na área total, dividida pelo valor informado no campo Produção Total Colhida para Moagem" sqref="D49:D53" xr:uid="{00000000-0002-0000-0300-000034000000}">
      <formula1>IF(AND(D49&gt;=0,D49=ROUND(D49,2)),D49,"")</formula1>
    </dataValidation>
    <dataValidation type="custom" allowBlank="1" showInputMessage="1" showErrorMessage="1" error="Número inválido. Podem ser preenchidos números com até duas casas decimais._x000a_" prompt="Quantidade anual consumida de  K₂O por fonte na área total, dividida pelo valor informado no campo Produção Total Colhida para Moagem   " sqref="D56 D59" xr:uid="{00000000-0002-0000-0300-000035000000}">
      <formula1>IF(AND(D56&gt;=0,D56=ROUND(D56,2)),D56,"")</formula1>
    </dataValidation>
    <dataValidation type="custom" allowBlank="1" showInputMessage="1" showErrorMessage="1" error="Número inválido. Podem ser preenchidos números com até duas casas decimais._x000a_" prompt="Quantidade anual consumida de fertilizantes por fonte (vinhaça, torta de filtro, cinzas e fuligem, outros) na área total, dividida pelo valor informado no campo Produção Total Colhida para Moagem" sqref="D62:D66" xr:uid="{00000000-0002-0000-0300-000036000000}">
      <formula1>IF(AND(D62&gt;=0,D62=ROUND(D62,2)),D62,"")</formula1>
    </dataValidation>
    <dataValidation type="custom" allowBlank="1" showInputMessage="1" showErrorMessage="1" error="Número inválido. Podem ser preenchidos números com até duas casas decimais._x000a_" prompt="Informar a concentração de nitrogênio em cada fonte." sqref="G62 G65:G66" xr:uid="{00000000-0002-0000-0300-000037000000}">
      <formula1>IF(AND(G62&gt;=0,G62=ROUND(G62,2)),G62,"")</formula1>
    </dataValidation>
    <dataValidation type="custom" allowBlank="1" showInputMessage="1" showErrorMessage="1" error="Número inválido. Podem ser preenchidos números com até duas casas decimais._x000a_" prompt="Quantidade total anual de combustíveis (soma do consumo nas operações agrícolas, irrigação, transportes da cana, palha, vinhaça, torta de filtro, cinzas, deslocamento de pessoas, etc) na área total dividida pelo valor informado no campo Produção Total" sqref="D69:D78" xr:uid="{00000000-0002-0000-0300-000038000000}">
      <formula1>IF(AND(D69&gt;=0,D69=ROUND(D69,2)),D69,"")</formula1>
    </dataValidation>
    <dataValidation type="custom" allowBlank="1" showInputMessage="1" showErrorMessage="1" error="Número inválido. Podem ser preenchidos números com até duas casas decimais._x000a_" prompt="Quantidade total anual de eletricidade consumida na área total dividida pelo valor informado no campo Produção Total Colhida para Moagem" sqref="D79:D83" xr:uid="{00000000-0002-0000-0300-000039000000}">
      <formula1>IF(AND(D79&gt;=0,D79=ROUND(D79,2)),D79,"")</formula1>
    </dataValidation>
    <dataValidation type="custom" allowBlank="1" showInputMessage="1" showErrorMessage="1" error="Número inválido. Podem ser preenchidos números com até duas casas decimais._x000a_" prompt="Quantidade total anual de cana que chega na usina (soma de colmos, impurezas vegetais e minerais). Este parâmetro deve ser reportado em base úmida." sqref="D88" xr:uid="{00000000-0002-0000-0300-00003A000000}">
      <formula1>IF(AND(D88&gt;=0,D88=ROUND(D88,2)),D88,"")</formula1>
    </dataValidation>
    <dataValidation type="custom" allowBlank="1" showInputMessage="1" showErrorMessage="1" error="Número inválido. Podem ser preenchidos números com até duas casas decimais._x000a_" prompt="Quantidade total anual de palha processada na usina. Este parâmetro refere-se à palha recolhida separadamente da cana (por exemplo, palha enfardada, palha recolhida por forrageira, entre outros). Deve ser reportado em base seca." sqref="D89" xr:uid="{00000000-0002-0000-0300-00003B000000}">
      <formula1>IF(AND(D89&gt;=0,D89=ROUND(D89,2)),D89,"")</formula1>
    </dataValidation>
    <dataValidation type="custom" allowBlank="1" showInputMessage="1" showErrorMessage="1" error="Número inválido. Podem ser preenchidos números com até duas casas decimais._x000a_" prompt="Refere-se ao volume total (corrigido para a temperatura de 20 °C) de etanol anidro produzido anualmente dividido pela quantidade de cana processada." sqref="D90" xr:uid="{00000000-0002-0000-0300-00003C000000}">
      <formula1>IF(AND(D90&gt;=0,D90=ROUND(D90,2)),D90,"")</formula1>
    </dataValidation>
    <dataValidation type="custom" allowBlank="1" showInputMessage="1" showErrorMessage="1" error="Número inválido. Podem ser preenchidos números com até duas casas decimais._x000a_" prompt="Refere-se ao volume total (corrigido para a temperatura de 20 °C) de etanol hidratado produzido anualmente dividido pela quantidade de cana processada." sqref="D91" xr:uid="{00000000-0002-0000-0300-00003D000000}">
      <formula1>IF(AND(D91&gt;=0,D91=ROUND(D91,2)),D91,"")</formula1>
    </dataValidation>
    <dataValidation type="custom" allowBlank="1" showInputMessage="1" showErrorMessage="1" error="Número inválido. Podem ser preenchidos números com até duas casas decimais._x000a_" prompt="Refere-se à massa total de açúcar produzido anualmente dividida pela quantidade de cana processada. " sqref="D92" xr:uid="{00000000-0002-0000-0300-00003E000000}">
      <formula1>IF(AND(D92&gt;=0,D92=ROUND(D92,2)),D92,"")</formula1>
    </dataValidation>
    <dataValidation type="custom" allowBlank="1" showInputMessage="1" showErrorMessage="1" error="Número inválido. Podem ser preenchidos números com até duas casas decimais._x000a_" prompt="Refere-se à quantidade total de eletricidade comercializada anualmente dividida pela quantidade de cana processada." sqref="D93" xr:uid="{00000000-0002-0000-0300-00003F000000}">
      <formula1>IF(AND(D93&gt;=0,D93=ROUND(D93,2)),D93,"")</formula1>
    </dataValidation>
    <dataValidation type="custom" allowBlank="1" showInputMessage="1" showErrorMessage="1" error="Número inválido. Podem ser preenchidos números com até duas casas decimais._x000a_" prompt="Refere-se à quantidade total de bagaço comercializado anualmente dividido pela quantidade pela quantidade de cana processada. Deve ser reportado em base úmida e reportado o respectivo teor de umidade." sqref="D94" xr:uid="{00000000-0002-0000-0300-000040000000}">
      <formula1>IF(AND(D94&gt;=0,D94=ROUND(D94,2)),D94,"")</formula1>
    </dataValidation>
    <dataValidation type="custom" allowBlank="1" showInputMessage="1" showErrorMessage="1" error="Número inválido. Podem ser preenchidos números com até duas casas decimais._x000a_" prompt="Refere-se à quantidade total de bagaço produzido na usina anualmente utilizado para geração de vapor/eletricidade, dividido pela quantidade de cana processada. Deve ser reportado em base úmida." sqref="D98" xr:uid="{00000000-0002-0000-0300-000041000000}">
      <formula1>IF(AND(D98&gt;=0,D98=ROUND(D98,2)),D98,"")</formula1>
    </dataValidation>
    <dataValidation type="custom" allowBlank="1" showInputMessage="1" showErrorMessage="1" error="Número inválido. Podem ser preenchidos números com até duas casas decimais._x000a_" prompt="Refere-se à quantidade total anual de palha própria utilizada para geração de vapor/eletricidade, dividida pela quantidade de cana processada. Deve ser reportada em base úmida." sqref="D102" xr:uid="{00000000-0002-0000-0300-000042000000}">
      <formula1>IF(AND(D102&gt;=0,D102=ROUND(D102,2)),D102,"")</formula1>
    </dataValidation>
    <dataValidation type="custom" allowBlank="1" showInputMessage="1" showErrorMessage="1" error="Número inválido. Podem ser preenchidos números com até duas casas decimais._x000a_" prompt="Refere-se à quantidade total anual de bagaço adquirido pela usina e utilizado para geração de vapor/eletricidade, dividido pela quantidade de cana processada. Deve ser reportado em base úmida." sqref="D106" xr:uid="{00000000-0002-0000-0300-000043000000}">
      <formula1>IF(AND(D106&gt;=0,D106=ROUND(D106,2)),D106,"")</formula1>
    </dataValidation>
    <dataValidation type="custom" allowBlank="1" showInputMessage="1" showErrorMessage="1" error="Número inválido. Podem ser preenchidos números com até duas casas decimais._x000a_" prompt="Refere-se à quantidade total anual de palha adquirida pela usina e utilizada para geração de vapor/eletricidade, dividida pela quantidade de cana processada. Deve ser reportada em base úmida." sqref="D111" xr:uid="{00000000-0002-0000-0300-000044000000}">
      <formula1>IF(AND(D111&gt;=0,D111=ROUND(D111,2)),D111,"")</formula1>
    </dataValidation>
    <dataValidation type="custom" allowBlank="1" showInputMessage="1" showErrorMessage="1" error="Número inválido. Podem ser preenchidos números com até duas casas decimais._x000a_" prompt="Refere-se à quantidade total anual de cavaco de madeira adquirido pela usina e utilizado para geração de vapor/eletricidade, dividido pela quantidade de cana processada. Deve ser reportado em base úmida." sqref="D116" xr:uid="{00000000-0002-0000-0300-000045000000}">
      <formula1>IF(AND(D116&gt;=0,D116=ROUND(D116,2)),D116,"")</formula1>
    </dataValidation>
    <dataValidation type="custom" allowBlank="1" showInputMessage="1" showErrorMessage="1" error="Número inválido. Podem ser preenchidos números com até duas casas decimais._x000a_" prompt="Refere-se à quantidade total anual de lenha adquirida pela usina e utilizado para geração de vapor/eletricidade, dividido pela quantidade de cana processada. Deve ser reportado em base úmida." sqref="D121" xr:uid="{00000000-0002-0000-0300-000046000000}">
      <formula1>IF(AND(D121&gt;=0,D121=ROUND(D121,2)),D121,"")</formula1>
    </dataValidation>
    <dataValidation type="custom" allowBlank="1" showInputMessage="1" showErrorMessage="1" error="Número inválido. Podem ser preenchidos números com até duas casas decimais._x000a_" prompt="Refere-se à quantidade total anual de resíduos florestais adquirida pela usina e utilizado para geração de vapor/eletricidade, dividido pela quantidade de cana processada. Deve ser reportado em base úmida." sqref="D126" xr:uid="{00000000-0002-0000-0300-000047000000}">
      <formula1>IF(AND(D126&gt;=0,D126=ROUND(D126,2)),D126,"")</formula1>
    </dataValidation>
    <dataValidation type="custom" allowBlank="1" showInputMessage="1" showErrorMessage="1" error="Número inválido. " prompt="Teor de umidade:_x000a__x000a_Massa de água / Massa total" sqref="D99" xr:uid="{00000000-0002-0000-0300-000048000000}">
      <formula1>IF(AND(D99&gt;=0,D99=ROUND(D99,2)),D99,"")</formula1>
    </dataValidation>
    <dataValidation type="custom" allowBlank="1" showInputMessage="1" showErrorMessage="1" error="Número inválido. Podem ser preenchidos números com até duas casas decimais._x000a_" prompt="Refere-se à distância média ponderada de transporte dos resíduos florestais entre o fornecedor e a usina." sqref="D128" xr:uid="{00000000-0002-0000-0300-000049000000}">
      <formula1>IF(AND(D128&gt;=0,D128=ROUND(D128,2)),D128,"")</formula1>
    </dataValidation>
    <dataValidation type="custom" allowBlank="1" showInputMessage="1" showErrorMessage="1" error="Número inválido. Podem ser preenchidos números com até duas casas decimais._x000a_" prompt="Quantidade total anual de combustíveis consumidos dividida pelo valor informado no campo Quantidade de Cana Processada" sqref="D131:D133" xr:uid="{00000000-0002-0000-0300-00004A000000}">
      <formula1>IF(AND(D131&gt;=0,D131=ROUND(D131,2)),D131,"")</formula1>
    </dataValidation>
    <dataValidation type="custom" allowBlank="1" showInputMessage="1" showErrorMessage="1" error="Número inválido. Podem ser preenchidos números com até duas casas decimais._x000a_" prompt="Quantidade total anual de combustíveis consumidos dividida pelo valor informado no campo Quantidade de Cana Processada. Biogás/biometano próprio refere-se aqueles produzidos usando resíduos disponíveis na mesma unidade de produção. " sqref="D134" xr:uid="{00000000-0002-0000-0300-00004B000000}">
      <formula1>IF(AND(D134&gt;=0,D134=ROUND(D134,2)),D134,"")</formula1>
    </dataValidation>
    <dataValidation type="custom" allowBlank="1" showInputMessage="1" showErrorMessage="1" error="Número inválido. Podem ser preenchidos números com até duas casas decimais._x000a_" prompt="Quantidade total anual de combustíveis consumidos dividida pelo valor informado no campo Quantidade de Cana Processada." sqref="D135" xr:uid="{00000000-0002-0000-0300-00004C000000}">
      <formula1>IF(AND(D135&gt;=0,D135=ROUND(D135,2)),D135,"")</formula1>
    </dataValidation>
    <dataValidation type="custom" allowBlank="1" showInputMessage="1" showErrorMessage="1" error="Número inválido. Podem ser preenchidos números com até duas casas decimais._x000a_" prompt="Quantidade total anual de eletricidade consumida dividida pelo valor informado no campo  Quantidade de Cana Processada" sqref="D136:D140" xr:uid="{00000000-0002-0000-0300-00004D000000}">
      <formula1>IF(AND(D136&gt;=0,D136=ROUND(D136,2)),D136,"")</formula1>
    </dataValidation>
    <dataValidation allowBlank="1" showInputMessage="1" showErrorMessage="1" error="Número inválido. Podem ser preenchidos números com até duas casas decimais._x000a_" prompt="Informar a concentração de nitrogênio em cada fonte." sqref="G64" xr:uid="{00000000-0002-0000-0300-00004E000000}"/>
    <dataValidation type="custom" allowBlank="1" showInputMessage="1" showErrorMessage="1" error="Número inválido. Podem ser preenchidos números com até duas casas decimais._x000a_" prompt="Refere-se à distância média ponderada de transporte da lenha entre o fornecedor e a usina." sqref="D123" xr:uid="{00000000-0002-0000-0300-00004F000000}">
      <formula1>IF(AND(D123&gt;=0,D123=ROUND(D123,2)),D123,"")</formula1>
    </dataValidation>
    <dataValidation type="custom" allowBlank="1" showInputMessage="1" showErrorMessage="1" error="Número inválido. Podem ser preenchidos números com até duas casas decimais._x000a_" prompt="Refere-se à distância média ponderada de transporte da palha entre o fornecedor e a usina." sqref="D113" xr:uid="{00000000-0002-0000-0300-000050000000}">
      <formula1>IF(AND(D113&gt;=0,D113=ROUND(D113,2)),D113,"")</formula1>
    </dataValidation>
    <dataValidation type="custom" allowBlank="1" showInputMessage="1" showErrorMessage="1" error="Número inválido. Podem ser preenchidos números com até duas casas decimais._x000a_" prompt="Refere-se à distância média ponderada de transporte do cavaco entre o fornecedor e a usina." sqref="D118" xr:uid="{00000000-0002-0000-0300-000051000000}">
      <formula1>IF(AND(D118&gt;=0,D118=ROUND(D118,2)),D118,"")</formula1>
    </dataValidation>
    <dataValidation type="decimal" allowBlank="1" showInputMessage="1" showErrorMessage="1" error="Número inválido. " prompt="Teor de umidade:_x000a__x000a_Massa de água / Massa total" sqref="D103" xr:uid="{00000000-0002-0000-0300-000052000000}">
      <formula1>0</formula1>
      <formula2>1</formula2>
    </dataValidation>
    <dataValidation allowBlank="1" showErrorMessage="1" sqref="D30" xr:uid="{00000000-0002-0000-0300-000053000000}"/>
  </dataValidations>
  <printOptions horizontalCentered="1" verticalCentered="1"/>
  <pageMargins left="0.11811023622047245" right="0.19685039370078741" top="0.19685039370078741" bottom="0.19685039370078741" header="0.31496062992125984" footer="0.31496062992125984"/>
  <pageSetup paperSize="9" scale="60" orientation="portrait" r:id="rId1"/>
  <rowBreaks count="1" manualBreakCount="1">
    <brk id="8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32">
    <tabColor rgb="FF265EAA"/>
  </sheetPr>
  <dimension ref="A2:I316"/>
  <sheetViews>
    <sheetView showGridLines="0" topLeftCell="A10" workbookViewId="0">
      <selection activeCell="D91" sqref="D91"/>
    </sheetView>
  </sheetViews>
  <sheetFormatPr defaultColWidth="9.140625" defaultRowHeight="15" outlineLevelRow="1" x14ac:dyDescent="0.25"/>
  <cols>
    <col min="1" max="1" width="5.7109375" style="71" customWidth="1"/>
    <col min="2" max="2" width="50.7109375" style="70" customWidth="1"/>
    <col min="3" max="4" width="15.7109375" style="70" customWidth="1"/>
    <col min="5" max="5" width="15.7109375" style="71" customWidth="1"/>
    <col min="6" max="6" width="21.140625" style="230" bestFit="1" customWidth="1"/>
    <col min="7" max="7" width="2.7109375" style="230" customWidth="1"/>
    <col min="8" max="8" width="18.5703125" style="70" customWidth="1"/>
    <col min="9" max="9" width="18.140625" style="70" bestFit="1" customWidth="1"/>
    <col min="10" max="16384" width="9.140625" style="70"/>
  </cols>
  <sheetData>
    <row r="2" spans="1:9" ht="25.5" customHeight="1" x14ac:dyDescent="0.25">
      <c r="B2" s="741" t="s">
        <v>537</v>
      </c>
      <c r="C2" s="741"/>
      <c r="D2" s="741"/>
      <c r="E2" s="741"/>
      <c r="F2" s="741"/>
      <c r="G2" s="453"/>
    </row>
    <row r="3" spans="1:9" x14ac:dyDescent="0.25">
      <c r="B3" s="279"/>
      <c r="C3" s="739" t="s">
        <v>179</v>
      </c>
      <c r="D3" s="739"/>
      <c r="E3" s="739" t="s">
        <v>177</v>
      </c>
      <c r="F3" s="739"/>
      <c r="G3" s="583"/>
    </row>
    <row r="4" spans="1:9" ht="18.600000000000001" customHeight="1" x14ac:dyDescent="0.25">
      <c r="B4" s="307" t="s">
        <v>536</v>
      </c>
      <c r="C4" s="738" t="e">
        <f>C5+C6+C7+C8</f>
        <v>#DIV/0!</v>
      </c>
      <c r="D4" s="738"/>
      <c r="E4" s="738">
        <f>E5+E6+E7+E8</f>
        <v>25.722387950913319</v>
      </c>
      <c r="F4" s="738"/>
      <c r="G4" s="584"/>
    </row>
    <row r="5" spans="1:9" x14ac:dyDescent="0.25">
      <c r="B5" s="273" t="s">
        <v>180</v>
      </c>
      <c r="C5" s="237" t="e">
        <f>$H$86</f>
        <v>#DIV/0!</v>
      </c>
      <c r="D5" s="258" t="e">
        <f>C5/$C$4</f>
        <v>#DIV/0!</v>
      </c>
      <c r="E5" s="237">
        <f>$I$86</f>
        <v>21.763581185045219</v>
      </c>
      <c r="F5" s="258">
        <f>E5/$E$4</f>
        <v>0.84609489704366514</v>
      </c>
      <c r="G5" s="585"/>
    </row>
    <row r="6" spans="1:9" x14ac:dyDescent="0.25">
      <c r="B6" s="273" t="s">
        <v>181</v>
      </c>
      <c r="C6" s="237" t="e">
        <f>($H$141-$H$97)</f>
        <v>#DIV/0!</v>
      </c>
      <c r="D6" s="258" t="e">
        <f>C6/$C$4</f>
        <v>#DIV/0!</v>
      </c>
      <c r="E6" s="237">
        <f>($I$141-$I$97)</f>
        <v>1.3693724368607576</v>
      </c>
      <c r="F6" s="258">
        <f>E6/$E$4</f>
        <v>5.3236598385576234E-2</v>
      </c>
      <c r="G6" s="585"/>
    </row>
    <row r="7" spans="1:9" x14ac:dyDescent="0.25">
      <c r="B7" s="273" t="s">
        <v>170</v>
      </c>
      <c r="C7" s="237" t="e">
        <f>$D$171</f>
        <v>#DIV/0!</v>
      </c>
      <c r="D7" s="258" t="e">
        <f>C7/$C$4</f>
        <v>#DIV/0!</v>
      </c>
      <c r="E7" s="237">
        <f>$E$171</f>
        <v>1.926434329007344</v>
      </c>
      <c r="F7" s="258">
        <f>E7/$E$4</f>
        <v>7.4893292671100647E-2</v>
      </c>
      <c r="G7" s="585"/>
    </row>
    <row r="8" spans="1:9" x14ac:dyDescent="0.25">
      <c r="B8" s="273" t="s">
        <v>63</v>
      </c>
      <c r="C8" s="237">
        <f>'FE''s queima combustíveis'!$I$7</f>
        <v>0.43899999999999995</v>
      </c>
      <c r="D8" s="258" t="e">
        <f>C8/$C$4</f>
        <v>#DIV/0!</v>
      </c>
      <c r="E8" s="237">
        <f>'FE''s queima combustíveis'!$I$8</f>
        <v>0.66300000000000003</v>
      </c>
      <c r="F8" s="258">
        <f>E8/$E$4</f>
        <v>2.5775211899657979E-2</v>
      </c>
      <c r="G8" s="585"/>
    </row>
    <row r="11" spans="1:9" ht="22.5" customHeight="1" x14ac:dyDescent="0.25">
      <c r="A11" s="230"/>
      <c r="B11" s="741" t="s">
        <v>501</v>
      </c>
      <c r="C11" s="741"/>
      <c r="D11" s="741"/>
      <c r="E11" s="741"/>
      <c r="F11" s="741"/>
      <c r="G11" s="453"/>
      <c r="H11" s="740" t="s">
        <v>936</v>
      </c>
      <c r="I11" s="740" t="s">
        <v>937</v>
      </c>
    </row>
    <row r="12" spans="1:9" ht="18" customHeight="1" x14ac:dyDescent="0.25">
      <c r="A12" s="230"/>
      <c r="B12" s="279" t="s">
        <v>510</v>
      </c>
      <c r="C12" s="280"/>
      <c r="D12" s="280" t="s">
        <v>51</v>
      </c>
      <c r="E12" s="280" t="s">
        <v>507</v>
      </c>
      <c r="F12" s="573"/>
      <c r="G12" s="583"/>
      <c r="H12" s="740"/>
      <c r="I12" s="740"/>
    </row>
    <row r="13" spans="1:9" ht="15" customHeight="1" x14ac:dyDescent="0.25">
      <c r="A13" s="230"/>
      <c r="B13" s="273" t="s">
        <v>414</v>
      </c>
      <c r="C13" s="273" t="s">
        <v>1</v>
      </c>
      <c r="D13" s="247">
        <f>(E1GC!V29/E1GC!V27)*1000</f>
        <v>63529.038799739596</v>
      </c>
      <c r="E13" s="232">
        <v>1000</v>
      </c>
      <c r="F13" s="233"/>
      <c r="G13" s="586"/>
      <c r="H13" s="740"/>
      <c r="I13" s="740"/>
    </row>
    <row r="14" spans="1:9" ht="18" customHeight="1" x14ac:dyDescent="0.25">
      <c r="A14" s="230"/>
      <c r="B14" s="281" t="s">
        <v>511</v>
      </c>
      <c r="C14" s="280"/>
      <c r="D14" s="280" t="s">
        <v>51</v>
      </c>
      <c r="E14" s="280" t="s">
        <v>507</v>
      </c>
      <c r="F14" s="282"/>
      <c r="G14" s="587"/>
      <c r="H14" s="740"/>
      <c r="I14" s="740"/>
    </row>
    <row r="15" spans="1:9" ht="15" customHeight="1" x14ac:dyDescent="0.25">
      <c r="A15" s="230"/>
      <c r="B15" s="273" t="s">
        <v>413</v>
      </c>
      <c r="C15" s="273" t="s">
        <v>36</v>
      </c>
      <c r="D15" s="232">
        <v>1</v>
      </c>
      <c r="E15" s="235">
        <f>(D15*E13)/D13</f>
        <v>1.5740833151155736E-2</v>
      </c>
      <c r="F15" s="236"/>
      <c r="G15" s="588"/>
      <c r="H15" s="740"/>
      <c r="I15" s="740"/>
    </row>
    <row r="16" spans="1:9" ht="18" x14ac:dyDescent="0.25">
      <c r="A16" s="230"/>
      <c r="B16" s="281" t="s">
        <v>60</v>
      </c>
      <c r="C16" s="280"/>
      <c r="D16" s="280" t="s">
        <v>51</v>
      </c>
      <c r="E16" s="280" t="s">
        <v>507</v>
      </c>
      <c r="F16" s="283" t="s">
        <v>508</v>
      </c>
      <c r="G16" s="272"/>
      <c r="H16" s="283" t="s">
        <v>535</v>
      </c>
      <c r="I16" s="283" t="s">
        <v>535</v>
      </c>
    </row>
    <row r="17" spans="1:9" x14ac:dyDescent="0.25">
      <c r="A17" s="230"/>
      <c r="B17" s="284" t="s">
        <v>419</v>
      </c>
      <c r="C17" s="285"/>
      <c r="D17" s="285"/>
      <c r="E17" s="286"/>
      <c r="F17" s="287"/>
      <c r="G17" s="589"/>
      <c r="H17" s="287"/>
      <c r="I17" s="287"/>
    </row>
    <row r="18" spans="1:9" x14ac:dyDescent="0.25">
      <c r="A18" s="230"/>
      <c r="B18" s="273" t="s">
        <v>164</v>
      </c>
      <c r="C18" s="273" t="s">
        <v>1</v>
      </c>
      <c r="D18" s="232"/>
      <c r="E18" s="237">
        <f>E1GC!V39</f>
        <v>0</v>
      </c>
      <c r="F18" s="238">
        <f>E18*'Dados auxiliares'!$H$52</f>
        <v>0</v>
      </c>
      <c r="G18" s="590"/>
      <c r="H18" s="294" t="e">
        <f>(F18/$E$91)*$F$91</f>
        <v>#DIV/0!</v>
      </c>
      <c r="I18" s="294">
        <f>(F18/$E$92)*$F$92</f>
        <v>0</v>
      </c>
    </row>
    <row r="19" spans="1:9" x14ac:dyDescent="0.25">
      <c r="A19" s="230"/>
      <c r="B19" s="273" t="s">
        <v>163</v>
      </c>
      <c r="C19" s="273" t="s">
        <v>1</v>
      </c>
      <c r="D19" s="232"/>
      <c r="E19" s="237">
        <f>E1GC!V40</f>
        <v>13.34</v>
      </c>
      <c r="F19" s="238">
        <f>E19*'Dados auxiliares'!$H$53</f>
        <v>491.38741064038567</v>
      </c>
      <c r="G19" s="590"/>
      <c r="H19" s="294" t="e">
        <f t="shared" ref="H19:H40" si="0">(F19/$E$91)*$F$91</f>
        <v>#DIV/0!</v>
      </c>
      <c r="I19" s="294">
        <f t="shared" ref="I19:I84" si="1">(F19/$E$92)*$F$92</f>
        <v>0.27749248361950302</v>
      </c>
    </row>
    <row r="20" spans="1:9" x14ac:dyDescent="0.25">
      <c r="A20" s="230"/>
      <c r="B20" s="273" t="s">
        <v>28</v>
      </c>
      <c r="C20" s="273" t="s">
        <v>1</v>
      </c>
      <c r="D20" s="232"/>
      <c r="E20" s="237">
        <f>E1GC!V41</f>
        <v>7.72</v>
      </c>
      <c r="F20" s="238">
        <f>E20*'Dados auxiliares'!$H$54</f>
        <v>21.838909813727099</v>
      </c>
      <c r="G20" s="590"/>
      <c r="H20" s="294" t="e">
        <f t="shared" si="0"/>
        <v>#DIV/0!</v>
      </c>
      <c r="I20" s="294">
        <f t="shared" si="1"/>
        <v>1.2332699602246193E-2</v>
      </c>
    </row>
    <row r="21" spans="1:9" x14ac:dyDescent="0.25">
      <c r="A21" s="230"/>
      <c r="B21" s="273" t="s">
        <v>393</v>
      </c>
      <c r="C21" s="273" t="s">
        <v>409</v>
      </c>
      <c r="D21" s="232"/>
      <c r="E21" s="237">
        <f>E1GC!V44</f>
        <v>0.27</v>
      </c>
      <c r="F21" s="238">
        <f>E21*'Dados auxiliares'!$H$55</f>
        <v>867.02784362395653</v>
      </c>
      <c r="G21" s="590"/>
      <c r="H21" s="294" t="e">
        <f t="shared" si="0"/>
        <v>#DIV/0!</v>
      </c>
      <c r="I21" s="294">
        <f t="shared" si="1"/>
        <v>0.48962123262565349</v>
      </c>
    </row>
    <row r="22" spans="1:9" x14ac:dyDescent="0.25">
      <c r="A22" s="230"/>
      <c r="B22" s="273" t="s">
        <v>551</v>
      </c>
      <c r="C22" s="273" t="s">
        <v>409</v>
      </c>
      <c r="D22" s="232"/>
      <c r="E22" s="237">
        <f>E1GC!V45</f>
        <v>0.09</v>
      </c>
      <c r="F22" s="238">
        <f>E22*'Dados auxiliares'!$H$56</f>
        <v>293.62548610711701</v>
      </c>
      <c r="G22" s="590"/>
      <c r="H22" s="294" t="e">
        <f t="shared" si="0"/>
        <v>#DIV/0!</v>
      </c>
      <c r="I22" s="294">
        <f t="shared" si="1"/>
        <v>0.16581390493432246</v>
      </c>
    </row>
    <row r="23" spans="1:9" x14ac:dyDescent="0.25">
      <c r="A23" s="230"/>
      <c r="B23" s="273" t="s">
        <v>558</v>
      </c>
      <c r="C23" s="273" t="s">
        <v>410</v>
      </c>
      <c r="D23" s="232"/>
      <c r="E23" s="237">
        <f>E1GC!V46</f>
        <v>0.47</v>
      </c>
      <c r="F23" s="238">
        <f>E23*'Dados auxiliares'!$H$57</f>
        <v>781.27692429851368</v>
      </c>
      <c r="G23" s="590"/>
      <c r="H23" s="294" t="e">
        <f t="shared" si="0"/>
        <v>#DIV/0!</v>
      </c>
      <c r="I23" s="294">
        <f t="shared" si="1"/>
        <v>0.44119663919689156</v>
      </c>
    </row>
    <row r="24" spans="1:9" x14ac:dyDescent="0.25">
      <c r="A24" s="230"/>
      <c r="B24" s="273" t="s">
        <v>553</v>
      </c>
      <c r="C24" s="273" t="s">
        <v>409</v>
      </c>
      <c r="D24" s="232"/>
      <c r="E24" s="237">
        <f>E1GC!V47</f>
        <v>0</v>
      </c>
      <c r="F24" s="238">
        <f>E24*'Dados auxiliares'!$H$58</f>
        <v>0</v>
      </c>
      <c r="G24" s="590"/>
      <c r="H24" s="294" t="e">
        <f t="shared" si="0"/>
        <v>#DIV/0!</v>
      </c>
      <c r="I24" s="294">
        <f t="shared" si="1"/>
        <v>0</v>
      </c>
    </row>
    <row r="25" spans="1:9" x14ac:dyDescent="0.25">
      <c r="A25" s="230"/>
      <c r="B25" s="273" t="s">
        <v>559</v>
      </c>
      <c r="C25" s="273" t="s">
        <v>410</v>
      </c>
      <c r="D25" s="232"/>
      <c r="E25" s="237">
        <f>E1GC!V48</f>
        <v>0</v>
      </c>
      <c r="F25" s="238">
        <f>E25*'Dados auxiliares'!$H$59</f>
        <v>0</v>
      </c>
      <c r="G25" s="590"/>
      <c r="H25" s="294" t="e">
        <f t="shared" si="0"/>
        <v>#DIV/0!</v>
      </c>
      <c r="I25" s="294">
        <f t="shared" si="1"/>
        <v>0</v>
      </c>
    </row>
    <row r="26" spans="1:9" x14ac:dyDescent="0.25">
      <c r="A26" s="230"/>
      <c r="B26" s="273" t="s">
        <v>554</v>
      </c>
      <c r="C26" s="273" t="s">
        <v>409</v>
      </c>
      <c r="D26" s="232"/>
      <c r="E26" s="237">
        <f>E1GC!V49</f>
        <v>0.17</v>
      </c>
      <c r="F26" s="238">
        <f>E26*'Dados auxiliares'!$H$60</f>
        <v>1398.517572369321</v>
      </c>
      <c r="G26" s="590"/>
      <c r="H26" s="294" t="e">
        <f t="shared" si="0"/>
        <v>#DIV/0!</v>
      </c>
      <c r="I26" s="294">
        <f t="shared" si="1"/>
        <v>0.78975998598850949</v>
      </c>
    </row>
    <row r="27" spans="1:9" x14ac:dyDescent="0.25">
      <c r="A27" s="230"/>
      <c r="B27" s="273" t="s">
        <v>555</v>
      </c>
      <c r="C27" s="273" t="s">
        <v>409</v>
      </c>
      <c r="D27" s="232"/>
      <c r="E27" s="237">
        <f>E1GC!V50</f>
        <v>0</v>
      </c>
      <c r="F27" s="238">
        <f>E27*'Dados auxiliares'!$H$61</f>
        <v>0</v>
      </c>
      <c r="G27" s="590"/>
      <c r="H27" s="294" t="e">
        <f t="shared" si="0"/>
        <v>#DIV/0!</v>
      </c>
      <c r="I27" s="294">
        <f t="shared" si="1"/>
        <v>0</v>
      </c>
    </row>
    <row r="28" spans="1:9" x14ac:dyDescent="0.25">
      <c r="A28" s="230"/>
      <c r="B28" s="273" t="s">
        <v>399</v>
      </c>
      <c r="C28" s="273" t="s">
        <v>409</v>
      </c>
      <c r="D28" s="232"/>
      <c r="E28" s="237">
        <f>E1GC!V51</f>
        <v>0</v>
      </c>
      <c r="F28" s="238">
        <f>E28*'Dados auxiliares'!$H$62</f>
        <v>0</v>
      </c>
      <c r="G28" s="590"/>
      <c r="H28" s="294" t="e">
        <f t="shared" si="0"/>
        <v>#DIV/0!</v>
      </c>
      <c r="I28" s="294">
        <f t="shared" si="1"/>
        <v>0</v>
      </c>
    </row>
    <row r="29" spans="1:9" x14ac:dyDescent="0.25">
      <c r="A29" s="230"/>
      <c r="B29" s="273" t="s">
        <v>556</v>
      </c>
      <c r="C29" s="273" t="s">
        <v>409</v>
      </c>
      <c r="D29" s="232"/>
      <c r="E29" s="237">
        <f>E1GC!V52</f>
        <v>0</v>
      </c>
      <c r="F29" s="238">
        <f>E29*'Dados auxiliares'!$H$63</f>
        <v>0</v>
      </c>
      <c r="G29" s="590"/>
      <c r="H29" s="294" t="e">
        <f t="shared" si="0"/>
        <v>#DIV/0!</v>
      </c>
      <c r="I29" s="294">
        <f t="shared" si="1"/>
        <v>0</v>
      </c>
    </row>
    <row r="30" spans="1:9" x14ac:dyDescent="0.25">
      <c r="A30" s="230"/>
      <c r="B30" s="273" t="s">
        <v>557</v>
      </c>
      <c r="C30" s="273" t="s">
        <v>409</v>
      </c>
      <c r="D30" s="232"/>
      <c r="E30" s="237">
        <f>E1GC!V53</f>
        <v>0</v>
      </c>
      <c r="F30" s="238">
        <f>E30*'Dados auxiliares'!$H$64</f>
        <v>0</v>
      </c>
      <c r="G30" s="590"/>
      <c r="H30" s="294" t="e">
        <f t="shared" si="0"/>
        <v>#DIV/0!</v>
      </c>
      <c r="I30" s="294">
        <f t="shared" si="1"/>
        <v>0</v>
      </c>
    </row>
    <row r="31" spans="1:9" x14ac:dyDescent="0.25">
      <c r="A31" s="230"/>
      <c r="B31" s="273" t="s">
        <v>560</v>
      </c>
      <c r="C31" s="273" t="s">
        <v>410</v>
      </c>
      <c r="D31" s="241"/>
      <c r="E31" s="237">
        <f>E1GC!V54</f>
        <v>0.05</v>
      </c>
      <c r="F31" s="242">
        <f>E31*'Dados auxiliares'!$H$66</f>
        <v>118.38282085978388</v>
      </c>
      <c r="G31" s="591"/>
      <c r="H31" s="294" t="e">
        <f t="shared" si="0"/>
        <v>#DIV/0!</v>
      </c>
      <c r="I31" s="294">
        <f t="shared" si="1"/>
        <v>6.6852227523397326E-2</v>
      </c>
    </row>
    <row r="32" spans="1:9" x14ac:dyDescent="0.25">
      <c r="A32" s="230"/>
      <c r="B32" s="273" t="s">
        <v>561</v>
      </c>
      <c r="C32" s="273" t="s">
        <v>410</v>
      </c>
      <c r="D32" s="241"/>
      <c r="E32" s="237">
        <f>E1GC!V55</f>
        <v>0</v>
      </c>
      <c r="F32" s="242">
        <f>E32*'Dados auxiliares'!$H$67</f>
        <v>0</v>
      </c>
      <c r="G32" s="591"/>
      <c r="H32" s="294" t="e">
        <f t="shared" si="0"/>
        <v>#DIV/0!</v>
      </c>
      <c r="I32" s="294">
        <f t="shared" si="1"/>
        <v>0</v>
      </c>
    </row>
    <row r="33" spans="1:9" x14ac:dyDescent="0.25">
      <c r="A33" s="230"/>
      <c r="B33" s="273" t="s">
        <v>562</v>
      </c>
      <c r="C33" s="273" t="s">
        <v>411</v>
      </c>
      <c r="D33" s="232"/>
      <c r="E33" s="237">
        <f>E1GC!V56</f>
        <v>0.18</v>
      </c>
      <c r="F33" s="238">
        <f>E33*'Dados auxiliares'!H$68</f>
        <v>81.937396964582661</v>
      </c>
      <c r="G33" s="590"/>
      <c r="H33" s="294" t="e">
        <f t="shared" si="0"/>
        <v>#DIV/0!</v>
      </c>
      <c r="I33" s="294">
        <f t="shared" si="1"/>
        <v>4.627105068765977E-2</v>
      </c>
    </row>
    <row r="34" spans="1:9" x14ac:dyDescent="0.25">
      <c r="A34" s="230"/>
      <c r="B34" s="273" t="s">
        <v>256</v>
      </c>
      <c r="C34" s="273" t="s">
        <v>409</v>
      </c>
      <c r="D34" s="232"/>
      <c r="E34" s="237">
        <f>E1GC!V57</f>
        <v>0.67</v>
      </c>
      <c r="F34" s="238">
        <f>E34*'Dados auxiliares'!H$69</f>
        <v>2151.5135378816699</v>
      </c>
      <c r="G34" s="590"/>
      <c r="H34" s="294" t="e">
        <f t="shared" si="0"/>
        <v>#DIV/0!</v>
      </c>
      <c r="I34" s="294">
        <f t="shared" si="1"/>
        <v>1.2149860217006958</v>
      </c>
    </row>
    <row r="35" spans="1:9" x14ac:dyDescent="0.25">
      <c r="A35" s="230"/>
      <c r="B35" s="273" t="s">
        <v>404</v>
      </c>
      <c r="C35" s="273" t="s">
        <v>410</v>
      </c>
      <c r="D35" s="241"/>
      <c r="E35" s="237">
        <f>E1GC!V58</f>
        <v>0.19</v>
      </c>
      <c r="F35" s="238">
        <f>E35*'Dados auxiliares'!H$70</f>
        <v>449.85471926717872</v>
      </c>
      <c r="G35" s="590"/>
      <c r="H35" s="294" t="e">
        <f t="shared" si="0"/>
        <v>#DIV/0!</v>
      </c>
      <c r="I35" s="294">
        <f t="shared" si="1"/>
        <v>0.25403846458890988</v>
      </c>
    </row>
    <row r="36" spans="1:9" x14ac:dyDescent="0.25">
      <c r="A36" s="230"/>
      <c r="B36" s="273" t="s">
        <v>405</v>
      </c>
      <c r="C36" s="273" t="s">
        <v>411</v>
      </c>
      <c r="D36" s="232"/>
      <c r="E36" s="237">
        <f>E1GC!V59</f>
        <v>1.1499999999999999</v>
      </c>
      <c r="F36" s="238">
        <f>E36*'Dados auxiliares'!H$71</f>
        <v>523.48892505150025</v>
      </c>
      <c r="G36" s="590"/>
      <c r="H36" s="294" t="e">
        <f t="shared" si="0"/>
        <v>#DIV/0!</v>
      </c>
      <c r="I36" s="294">
        <f t="shared" si="1"/>
        <v>0.29562060161560405</v>
      </c>
    </row>
    <row r="37" spans="1:9" x14ac:dyDescent="0.25">
      <c r="A37" s="230"/>
      <c r="B37" s="273" t="s">
        <v>345</v>
      </c>
      <c r="C37" s="273" t="s">
        <v>412</v>
      </c>
      <c r="D37" s="232"/>
      <c r="E37" s="237">
        <f>E1GC!V62</f>
        <v>939.45</v>
      </c>
      <c r="F37" s="314">
        <v>0</v>
      </c>
      <c r="G37" s="592"/>
      <c r="H37" s="294" t="e">
        <f t="shared" si="0"/>
        <v>#DIV/0!</v>
      </c>
      <c r="I37" s="294">
        <f t="shared" si="1"/>
        <v>0</v>
      </c>
    </row>
    <row r="38" spans="1:9" x14ac:dyDescent="0.25">
      <c r="B38" s="273" t="s">
        <v>407</v>
      </c>
      <c r="C38" s="273" t="s">
        <v>1</v>
      </c>
      <c r="D38" s="232"/>
      <c r="E38" s="237">
        <f>E1GC!V63</f>
        <v>30.52</v>
      </c>
      <c r="F38" s="314">
        <v>0</v>
      </c>
      <c r="G38" s="592"/>
      <c r="H38" s="294" t="e">
        <f t="shared" si="0"/>
        <v>#DIV/0!</v>
      </c>
      <c r="I38" s="294">
        <f t="shared" si="1"/>
        <v>0</v>
      </c>
    </row>
    <row r="39" spans="1:9" x14ac:dyDescent="0.25">
      <c r="B39" s="273" t="s">
        <v>408</v>
      </c>
      <c r="C39" s="273" t="s">
        <v>1</v>
      </c>
      <c r="D39" s="232"/>
      <c r="E39" s="237">
        <f>E1GC!V64</f>
        <v>21.7</v>
      </c>
      <c r="F39" s="314">
        <v>0</v>
      </c>
      <c r="G39" s="592"/>
      <c r="H39" s="294" t="e">
        <f t="shared" si="0"/>
        <v>#DIV/0!</v>
      </c>
      <c r="I39" s="294">
        <f t="shared" si="1"/>
        <v>0</v>
      </c>
    </row>
    <row r="40" spans="1:9" x14ac:dyDescent="0.25">
      <c r="B40" s="273" t="s">
        <v>406</v>
      </c>
      <c r="C40" s="273" t="s">
        <v>1</v>
      </c>
      <c r="D40" s="232"/>
      <c r="E40" s="237">
        <f>E1GC!V65+E1GC!V66</f>
        <v>0</v>
      </c>
      <c r="F40" s="314">
        <v>0</v>
      </c>
      <c r="G40" s="592"/>
      <c r="H40" s="294" t="e">
        <f t="shared" si="0"/>
        <v>#DIV/0!</v>
      </c>
      <c r="I40" s="294">
        <f t="shared" si="1"/>
        <v>0</v>
      </c>
    </row>
    <row r="41" spans="1:9" x14ac:dyDescent="0.25">
      <c r="B41" s="284" t="s">
        <v>825</v>
      </c>
      <c r="C41" s="285"/>
      <c r="D41" s="285"/>
      <c r="E41" s="288"/>
      <c r="F41" s="289"/>
      <c r="G41" s="593"/>
      <c r="H41" s="289"/>
      <c r="I41" s="289"/>
    </row>
    <row r="42" spans="1:9" s="71" customFormat="1" x14ac:dyDescent="0.25">
      <c r="B42" s="273" t="s">
        <v>242</v>
      </c>
      <c r="C42" s="273" t="s">
        <v>1</v>
      </c>
      <c r="D42" s="246">
        <f>SUM(D43:D56)</f>
        <v>1.0831569385065971</v>
      </c>
      <c r="E42" s="246">
        <f>SUM(E43:E56)</f>
        <v>1.7049792645548997E-2</v>
      </c>
      <c r="F42" s="247">
        <f>SUM(F43:F56)</f>
        <v>181.90363024250249</v>
      </c>
      <c r="G42" s="594"/>
      <c r="H42" s="549" t="e">
        <f t="shared" ref="H42:H56" si="2">(F42/$E$91)*$F$91</f>
        <v>#DIV/0!</v>
      </c>
      <c r="I42" s="549">
        <f t="shared" si="1"/>
        <v>0.10272320585017286</v>
      </c>
    </row>
    <row r="43" spans="1:9" ht="15" customHeight="1" outlineLevel="1" x14ac:dyDescent="0.25">
      <c r="B43" s="273" t="s">
        <v>130</v>
      </c>
      <c r="C43" s="273" t="s">
        <v>1</v>
      </c>
      <c r="D43" s="245">
        <v>0.17411826749021314</v>
      </c>
      <c r="E43" s="237">
        <f>D43*$E$15</f>
        <v>2.7407665971317489E-3</v>
      </c>
      <c r="F43" s="294">
        <f>E43*'Dados auxiliares'!$H$72</f>
        <v>31.534456208181748</v>
      </c>
      <c r="G43" s="595"/>
      <c r="H43" s="294" t="e">
        <f t="shared" si="2"/>
        <v>#DIV/0!</v>
      </c>
      <c r="I43" s="294">
        <f t="shared" si="1"/>
        <v>1.7807893290133114E-2</v>
      </c>
    </row>
    <row r="44" spans="1:9" ht="15" customHeight="1" outlineLevel="1" x14ac:dyDescent="0.25">
      <c r="B44" s="273" t="s">
        <v>131</v>
      </c>
      <c r="C44" s="273" t="s">
        <v>1</v>
      </c>
      <c r="D44" s="245">
        <v>0.51076802087864281</v>
      </c>
      <c r="E44" s="237">
        <f t="shared" ref="E44:E54" si="3">D44*$E$15</f>
        <v>8.0399141955967458E-3</v>
      </c>
      <c r="F44" s="294">
        <f>E44*'Dados auxiliares'!$H$74</f>
        <v>86.36895019604863</v>
      </c>
      <c r="G44" s="595"/>
      <c r="H44" s="294" t="e">
        <f t="shared" si="2"/>
        <v>#DIV/0!</v>
      </c>
      <c r="I44" s="294">
        <f t="shared" si="1"/>
        <v>4.8773603023888591E-2</v>
      </c>
    </row>
    <row r="45" spans="1:9" outlineLevel="1" x14ac:dyDescent="0.25">
      <c r="B45" s="273" t="s">
        <v>18</v>
      </c>
      <c r="C45" s="273" t="s">
        <v>1</v>
      </c>
      <c r="D45" s="245">
        <v>7.3793224880382789E-3</v>
      </c>
      <c r="E45" s="237">
        <f>D45*$E$15</f>
        <v>1.1615668405278197E-4</v>
      </c>
      <c r="F45" s="294">
        <f>E45*'Dados auxiliares'!$H$74</f>
        <v>1.2478156626829837</v>
      </c>
      <c r="G45" s="595"/>
      <c r="H45" s="294" t="e">
        <f t="shared" si="2"/>
        <v>#DIV/0!</v>
      </c>
      <c r="I45" s="294">
        <f t="shared" si="1"/>
        <v>7.0465677353427733E-4</v>
      </c>
    </row>
    <row r="46" spans="1:9" ht="15" customHeight="1" outlineLevel="1" x14ac:dyDescent="0.25">
      <c r="B46" s="273" t="s">
        <v>132</v>
      </c>
      <c r="C46" s="273" t="s">
        <v>1</v>
      </c>
      <c r="D46" s="245">
        <v>0.17491467014644049</v>
      </c>
      <c r="E46" s="237">
        <f t="shared" si="3"/>
        <v>2.7533026384645612E-3</v>
      </c>
      <c r="F46" s="294">
        <f>E46*'Dados auxiliares'!$H$74</f>
        <v>29.577412478659515</v>
      </c>
      <c r="G46" s="595"/>
      <c r="H46" s="294" t="e">
        <f t="shared" si="2"/>
        <v>#DIV/0!</v>
      </c>
      <c r="I46" s="294">
        <f t="shared" si="1"/>
        <v>1.6702726748830467E-2</v>
      </c>
    </row>
    <row r="47" spans="1:9" ht="15" customHeight="1" outlineLevel="1" x14ac:dyDescent="0.25">
      <c r="B47" s="273" t="s">
        <v>9</v>
      </c>
      <c r="C47" s="273" t="s">
        <v>1</v>
      </c>
      <c r="D47" s="245">
        <v>4.4723166594171377E-3</v>
      </c>
      <c r="E47" s="237">
        <f t="shared" si="3"/>
        <v>7.0397990335019364E-5</v>
      </c>
      <c r="F47" s="294">
        <f>E47*'Dados auxiliares'!$H$74</f>
        <v>0.75625191677756576</v>
      </c>
      <c r="G47" s="595"/>
      <c r="H47" s="294" t="e">
        <f t="shared" si="2"/>
        <v>#DIV/0!</v>
      </c>
      <c r="I47" s="294">
        <f t="shared" si="1"/>
        <v>4.2706471123289528E-4</v>
      </c>
    </row>
    <row r="48" spans="1:9" ht="15" customHeight="1" outlineLevel="1" x14ac:dyDescent="0.25">
      <c r="B48" s="273" t="s">
        <v>10</v>
      </c>
      <c r="C48" s="273" t="s">
        <v>1</v>
      </c>
      <c r="D48" s="245">
        <v>9.3173263737857046E-3</v>
      </c>
      <c r="E48" s="237">
        <f t="shared" si="3"/>
        <v>1.4666247986462369E-4</v>
      </c>
      <c r="F48" s="294">
        <f>E48*'Dados auxiliares'!$H$74</f>
        <v>1.5755248266199289</v>
      </c>
      <c r="G48" s="595"/>
      <c r="H48" s="294" t="e">
        <f t="shared" si="2"/>
        <v>#DIV/0!</v>
      </c>
      <c r="I48" s="294">
        <f t="shared" si="1"/>
        <v>8.897181484018654E-4</v>
      </c>
    </row>
    <row r="49" spans="1:9" ht="15" customHeight="1" outlineLevel="1" x14ac:dyDescent="0.25">
      <c r="B49" s="273" t="s">
        <v>12</v>
      </c>
      <c r="C49" s="273" t="s">
        <v>1</v>
      </c>
      <c r="D49" s="245">
        <v>4.6586631868928516E-2</v>
      </c>
      <c r="E49" s="237">
        <f>D49*$E$15</f>
        <v>7.3331239932311826E-4</v>
      </c>
      <c r="F49" s="294">
        <f>E49*'Dados auxiliares'!$H$74</f>
        <v>7.8776241330996424</v>
      </c>
      <c r="G49" s="595"/>
      <c r="H49" s="294" t="e">
        <f t="shared" si="2"/>
        <v>#DIV/0!</v>
      </c>
      <c r="I49" s="294">
        <f t="shared" si="1"/>
        <v>4.4485907420093252E-3</v>
      </c>
    </row>
    <row r="50" spans="1:9" ht="15" customHeight="1" outlineLevel="1" x14ac:dyDescent="0.25">
      <c r="B50" s="273" t="s">
        <v>17</v>
      </c>
      <c r="C50" s="273" t="s">
        <v>1</v>
      </c>
      <c r="D50" s="245">
        <v>2.616305245759026E-2</v>
      </c>
      <c r="E50" s="237">
        <f>D50*$E$15</f>
        <v>4.1182824345986331E-4</v>
      </c>
      <c r="F50" s="294">
        <f>E50*'Dados auxiliares'!$H$74</f>
        <v>4.4240737131487604</v>
      </c>
      <c r="G50" s="595"/>
      <c r="H50" s="294" t="e">
        <f t="shared" si="2"/>
        <v>#DIV/0!</v>
      </c>
      <c r="I50" s="294">
        <f t="shared" si="1"/>
        <v>2.4983285607124376E-3</v>
      </c>
    </row>
    <row r="51" spans="1:9" ht="15" customHeight="1" outlineLevel="1" x14ac:dyDescent="0.25">
      <c r="B51" s="273" t="s">
        <v>11</v>
      </c>
      <c r="C51" s="273" t="s">
        <v>1</v>
      </c>
      <c r="D51" s="245">
        <v>4.6586631868928516E-2</v>
      </c>
      <c r="E51" s="237">
        <f t="shared" si="3"/>
        <v>7.3331239932311826E-4</v>
      </c>
      <c r="F51" s="294">
        <f>E51*'Dados auxiliares'!$H$74</f>
        <v>7.8776241330996424</v>
      </c>
      <c r="G51" s="595"/>
      <c r="H51" s="294" t="e">
        <f t="shared" si="2"/>
        <v>#DIV/0!</v>
      </c>
      <c r="I51" s="294">
        <f t="shared" si="1"/>
        <v>4.4485907420093252E-3</v>
      </c>
    </row>
    <row r="52" spans="1:9" ht="15" customHeight="1" outlineLevel="1" x14ac:dyDescent="0.25">
      <c r="B52" s="273" t="s">
        <v>13</v>
      </c>
      <c r="C52" s="273" t="s">
        <v>1</v>
      </c>
      <c r="D52" s="245">
        <v>3.7548825286356391E-2</v>
      </c>
      <c r="E52" s="237">
        <f t="shared" si="3"/>
        <v>5.9104979385443343E-4</v>
      </c>
      <c r="F52" s="294">
        <f>E52*'Dados auxiliares'!$H$73</f>
        <v>3.0035207329706397</v>
      </c>
      <c r="G52" s="595"/>
      <c r="H52" s="294" t="e">
        <f t="shared" si="2"/>
        <v>#DIV/0!</v>
      </c>
      <c r="I52" s="294">
        <f t="shared" si="1"/>
        <v>1.6961249102994294E-3</v>
      </c>
    </row>
    <row r="53" spans="1:9" ht="15" customHeight="1" outlineLevel="1" x14ac:dyDescent="0.25">
      <c r="B53" s="273" t="s">
        <v>14</v>
      </c>
      <c r="C53" s="273" t="s">
        <v>1</v>
      </c>
      <c r="D53" s="245">
        <v>9.3173263737857046E-3</v>
      </c>
      <c r="E53" s="237">
        <f t="shared" si="3"/>
        <v>1.4666247986462369E-4</v>
      </c>
      <c r="F53" s="294">
        <f>E53*'Dados auxiliares'!$H$74</f>
        <v>1.5755248266199289</v>
      </c>
      <c r="G53" s="595"/>
      <c r="H53" s="294" t="e">
        <f t="shared" si="2"/>
        <v>#DIV/0!</v>
      </c>
      <c r="I53" s="294">
        <f t="shared" si="1"/>
        <v>8.897181484018654E-4</v>
      </c>
    </row>
    <row r="54" spans="1:9" ht="15" customHeight="1" outlineLevel="1" x14ac:dyDescent="0.25">
      <c r="B54" s="273" t="s">
        <v>15</v>
      </c>
      <c r="C54" s="273" t="s">
        <v>1</v>
      </c>
      <c r="D54" s="245">
        <v>6.987994780339279E-5</v>
      </c>
      <c r="E54" s="237">
        <f t="shared" si="3"/>
        <v>1.0999685989846778E-6</v>
      </c>
      <c r="F54" s="294">
        <f>E54*'Dados auxiliares'!$H$74</f>
        <v>1.1816436199649468E-2</v>
      </c>
      <c r="G54" s="595"/>
      <c r="H54" s="294" t="e">
        <f t="shared" si="2"/>
        <v>#DIV/0!</v>
      </c>
      <c r="I54" s="294">
        <f t="shared" si="1"/>
        <v>6.6728861130139905E-6</v>
      </c>
    </row>
    <row r="55" spans="1:9" ht="15" customHeight="1" outlineLevel="1" x14ac:dyDescent="0.25">
      <c r="B55" s="273" t="s">
        <v>16</v>
      </c>
      <c r="C55" s="273" t="s">
        <v>1</v>
      </c>
      <c r="D55" s="245">
        <v>3.4051201391909529E-2</v>
      </c>
      <c r="E55" s="237">
        <f>D55*$E$15</f>
        <v>5.3599427970644987E-4</v>
      </c>
      <c r="F55" s="294">
        <f>E55*'Dados auxiliares'!$H$74</f>
        <v>5.7579300130699105</v>
      </c>
      <c r="G55" s="595"/>
      <c r="H55" s="294" t="e">
        <f t="shared" si="2"/>
        <v>#DIV/0!</v>
      </c>
      <c r="I55" s="294">
        <f t="shared" si="1"/>
        <v>3.2515735349259067E-3</v>
      </c>
    </row>
    <row r="56" spans="1:9" ht="15" customHeight="1" outlineLevel="1" x14ac:dyDescent="0.25">
      <c r="B56" s="273" t="s">
        <v>16</v>
      </c>
      <c r="C56" s="273" t="s">
        <v>1</v>
      </c>
      <c r="D56" s="245">
        <v>1.8634652747571412E-3</v>
      </c>
      <c r="E56" s="237">
        <f>D56*$E$15</f>
        <v>2.9332495972924741E-5</v>
      </c>
      <c r="F56" s="294">
        <f>E56*'Dados auxiliares'!$H$74</f>
        <v>0.3151049653239858</v>
      </c>
      <c r="G56" s="595"/>
      <c r="H56" s="294" t="e">
        <f t="shared" si="2"/>
        <v>#DIV/0!</v>
      </c>
      <c r="I56" s="294">
        <f t="shared" si="1"/>
        <v>1.7794362968037307E-4</v>
      </c>
    </row>
    <row r="57" spans="1:9" ht="15" customHeight="1" x14ac:dyDescent="0.25">
      <c r="A57" s="230"/>
      <c r="B57" s="284" t="s">
        <v>243</v>
      </c>
      <c r="C57" s="285"/>
      <c r="D57" s="285"/>
      <c r="E57" s="288"/>
      <c r="F57" s="289"/>
      <c r="G57" s="593"/>
      <c r="H57" s="287"/>
      <c r="I57" s="287"/>
    </row>
    <row r="58" spans="1:9" x14ac:dyDescent="0.25">
      <c r="A58" s="230"/>
      <c r="B58" s="273" t="s">
        <v>309</v>
      </c>
      <c r="C58" s="273" t="s">
        <v>1</v>
      </c>
      <c r="D58" s="248"/>
      <c r="E58" s="237">
        <f>(E1GC!$V$69*(1-0.08)+E1GC!$V$70*(1-0.1)+E1GC!$V$71*(1-E1GC!$Y$71)+E1GC!V72*(1-0.2)+E1GC!$V$73*(1-0.3)+E1GC!$V$74*(1-1))*('Dados auxiliares'!$D$26)</f>
        <v>2.5401599999999998</v>
      </c>
      <c r="F58" s="238">
        <f>E58*'Dados auxiliares'!$H$116</f>
        <v>1412.6574175739668</v>
      </c>
      <c r="G58" s="590"/>
      <c r="H58" s="294" t="e">
        <f t="shared" ref="H58:H68" si="4">(F58/$E$91)*$F$91</f>
        <v>#DIV/0!</v>
      </c>
      <c r="I58" s="294">
        <f t="shared" si="1"/>
        <v>0.79774492959689181</v>
      </c>
    </row>
    <row r="59" spans="1:9" x14ac:dyDescent="0.25">
      <c r="A59" s="230"/>
      <c r="B59" s="273" t="s">
        <v>187</v>
      </c>
      <c r="C59" s="273" t="s">
        <v>1</v>
      </c>
      <c r="D59" s="248"/>
      <c r="E59" s="237">
        <f>(E1GC!$V$69*(0.08)+E1GC!$V$70*(0.1)+E1GC!$V$71*(E1GC!$Y$71)+E1GC!V73*(0.2)+E1GC!$V$73*(0.3)+E1GC!$V$74*(1))*('Dados auxiliares'!$D$17)</f>
        <v>0.29568</v>
      </c>
      <c r="F59" s="238">
        <f>E59*'Dados auxiliares'!$H$117</f>
        <v>291.80367493717443</v>
      </c>
      <c r="G59" s="590"/>
      <c r="H59" s="294" t="e">
        <f t="shared" si="4"/>
        <v>#DIV/0!</v>
      </c>
      <c r="I59" s="294">
        <f t="shared" si="1"/>
        <v>0.16478510587417908</v>
      </c>
    </row>
    <row r="60" spans="1:9" x14ac:dyDescent="0.25">
      <c r="A60" s="230"/>
      <c r="B60" s="273" t="s">
        <v>188</v>
      </c>
      <c r="C60" s="273" t="s">
        <v>1</v>
      </c>
      <c r="D60" s="248"/>
      <c r="E60" s="237">
        <f>E1GC!V75*(1-'FE''s queima combustíveis'!$D$19)*'Dados auxiliares'!$D$24</f>
        <v>0</v>
      </c>
      <c r="F60" s="238">
        <f>E60*'Dados auxiliares'!$H$120</f>
        <v>0</v>
      </c>
      <c r="G60" s="590"/>
      <c r="H60" s="294" t="e">
        <f t="shared" si="4"/>
        <v>#DIV/0!</v>
      </c>
      <c r="I60" s="294">
        <f t="shared" si="1"/>
        <v>0</v>
      </c>
    </row>
    <row r="61" spans="1:9" x14ac:dyDescent="0.25">
      <c r="A61" s="230"/>
      <c r="B61" s="273" t="s">
        <v>45</v>
      </c>
      <c r="C61" s="273" t="s">
        <v>1</v>
      </c>
      <c r="D61" s="248"/>
      <c r="E61" s="237">
        <f>E1GC!V75*('FE''s queima combustíveis'!$D$19)*'Dados auxiliares'!$D$15</f>
        <v>0</v>
      </c>
      <c r="F61" s="238">
        <f>E61*'Dados auxiliares'!$H$121</f>
        <v>0</v>
      </c>
      <c r="G61" s="590"/>
      <c r="H61" s="294" t="e">
        <f t="shared" si="4"/>
        <v>#DIV/0!</v>
      </c>
      <c r="I61" s="294">
        <f t="shared" si="1"/>
        <v>0</v>
      </c>
    </row>
    <row r="62" spans="1:9" x14ac:dyDescent="0.25">
      <c r="A62" s="230"/>
      <c r="B62" s="273" t="s">
        <v>46</v>
      </c>
      <c r="C62" s="273" t="s">
        <v>1</v>
      </c>
      <c r="D62" s="248"/>
      <c r="E62" s="237">
        <f>E1GC!V76*'Dados auxiliares'!$D$16</f>
        <v>0.23460999999999999</v>
      </c>
      <c r="F62" s="238">
        <f>E62*'Dados auxiliares'!$H$122</f>
        <v>0</v>
      </c>
      <c r="G62" s="590"/>
      <c r="H62" s="294" t="e">
        <f t="shared" si="4"/>
        <v>#DIV/0!</v>
      </c>
      <c r="I62" s="294">
        <f t="shared" si="1"/>
        <v>0</v>
      </c>
    </row>
    <row r="63" spans="1:9" x14ac:dyDescent="0.25">
      <c r="A63" s="230"/>
      <c r="B63" s="273" t="s">
        <v>468</v>
      </c>
      <c r="C63" s="273" t="s">
        <v>169</v>
      </c>
      <c r="D63" s="248"/>
      <c r="E63" s="237">
        <f>E1GC!V77</f>
        <v>0</v>
      </c>
      <c r="F63" s="238">
        <f>E63*('Dados auxiliares'!$D$18*1000)*'Dados auxiliares'!$F$18*'Dados auxiliares'!$H$125</f>
        <v>0</v>
      </c>
      <c r="G63" s="590"/>
      <c r="H63" s="294" t="e">
        <f t="shared" si="4"/>
        <v>#DIV/0!</v>
      </c>
      <c r="I63" s="294">
        <f t="shared" si="1"/>
        <v>0</v>
      </c>
    </row>
    <row r="64" spans="1:9" x14ac:dyDescent="0.25">
      <c r="A64" s="230"/>
      <c r="B64" s="273" t="s">
        <v>376</v>
      </c>
      <c r="C64" s="273" t="s">
        <v>57</v>
      </c>
      <c r="D64" s="248"/>
      <c r="E64" s="237">
        <f>E1GC!V79</f>
        <v>4.13</v>
      </c>
      <c r="F64" s="238">
        <f>E64*'Dados auxiliares'!$H$107</f>
        <v>602.16143399999987</v>
      </c>
      <c r="G64" s="590"/>
      <c r="H64" s="294" t="e">
        <f t="shared" si="4"/>
        <v>#DIV/0!</v>
      </c>
      <c r="I64" s="294">
        <f t="shared" si="1"/>
        <v>0.34004793008998663</v>
      </c>
    </row>
    <row r="65" spans="1:9" x14ac:dyDescent="0.25">
      <c r="A65" s="230"/>
      <c r="B65" s="273" t="s">
        <v>375</v>
      </c>
      <c r="C65" s="273" t="s">
        <v>57</v>
      </c>
      <c r="D65" s="248"/>
      <c r="E65" s="237">
        <f>E1GC!V80</f>
        <v>0</v>
      </c>
      <c r="F65" s="238">
        <f>E65*'Dados auxiliares'!$H$108</f>
        <v>0</v>
      </c>
      <c r="G65" s="590"/>
      <c r="H65" s="294" t="e">
        <f t="shared" si="4"/>
        <v>#DIV/0!</v>
      </c>
      <c r="I65" s="294">
        <f t="shared" si="1"/>
        <v>0</v>
      </c>
    </row>
    <row r="66" spans="1:9" x14ac:dyDescent="0.25">
      <c r="A66" s="230"/>
      <c r="B66" s="273" t="s">
        <v>372</v>
      </c>
      <c r="C66" s="273" t="s">
        <v>57</v>
      </c>
      <c r="D66" s="248"/>
      <c r="E66" s="237">
        <f>E1GC!V81</f>
        <v>0</v>
      </c>
      <c r="F66" s="238">
        <f>E66*'Dados auxiliares'!$H$109</f>
        <v>0</v>
      </c>
      <c r="G66" s="590"/>
      <c r="H66" s="294" t="e">
        <f t="shared" si="4"/>
        <v>#DIV/0!</v>
      </c>
      <c r="I66" s="294">
        <f t="shared" si="1"/>
        <v>0</v>
      </c>
    </row>
    <row r="67" spans="1:9" x14ac:dyDescent="0.25">
      <c r="A67" s="230"/>
      <c r="B67" s="273" t="s">
        <v>373</v>
      </c>
      <c r="C67" s="273" t="s">
        <v>57</v>
      </c>
      <c r="D67" s="248"/>
      <c r="E67" s="237">
        <f>E1GC!V82</f>
        <v>0</v>
      </c>
      <c r="F67" s="238">
        <f>E67*'Dados auxiliares'!$H$110</f>
        <v>0</v>
      </c>
      <c r="G67" s="590"/>
      <c r="H67" s="294" t="e">
        <f t="shared" si="4"/>
        <v>#DIV/0!</v>
      </c>
      <c r="I67" s="294">
        <f t="shared" si="1"/>
        <v>0</v>
      </c>
    </row>
    <row r="68" spans="1:9" x14ac:dyDescent="0.25">
      <c r="A68" s="230"/>
      <c r="B68" s="273" t="s">
        <v>374</v>
      </c>
      <c r="C68" s="273" t="s">
        <v>57</v>
      </c>
      <c r="D68" s="248"/>
      <c r="E68" s="237">
        <f>E1GC!V83</f>
        <v>0</v>
      </c>
      <c r="F68" s="238">
        <f>E68*'Dados auxiliares'!$H$111</f>
        <v>0</v>
      </c>
      <c r="G68" s="590"/>
      <c r="H68" s="294" t="e">
        <f t="shared" si="4"/>
        <v>#DIV/0!</v>
      </c>
      <c r="I68" s="294">
        <f t="shared" si="1"/>
        <v>0</v>
      </c>
    </row>
    <row r="69" spans="1:9" ht="18" x14ac:dyDescent="0.25">
      <c r="A69" s="230"/>
      <c r="B69" s="281" t="s">
        <v>52</v>
      </c>
      <c r="C69" s="280"/>
      <c r="D69" s="280" t="s">
        <v>51</v>
      </c>
      <c r="E69" s="280" t="s">
        <v>507</v>
      </c>
      <c r="F69" s="283" t="s">
        <v>508</v>
      </c>
      <c r="G69" s="272"/>
      <c r="H69" s="283" t="s">
        <v>535</v>
      </c>
      <c r="I69" s="283" t="s">
        <v>535</v>
      </c>
    </row>
    <row r="70" spans="1:9" ht="18" x14ac:dyDescent="0.25">
      <c r="A70" s="70"/>
      <c r="B70" s="273" t="s">
        <v>567</v>
      </c>
      <c r="C70" s="273" t="s">
        <v>1</v>
      </c>
      <c r="D70" s="237">
        <f>'_Emissões Agrícolas'!$C$54</f>
        <v>1.5873184122963511</v>
      </c>
      <c r="E70" s="237">
        <f>D70*$E$15</f>
        <v>2.4985714285714292E-2</v>
      </c>
      <c r="F70" s="238">
        <f>E70*1000*'Dados auxiliares'!$D$9</f>
        <v>6621.2142857142871</v>
      </c>
      <c r="G70" s="590"/>
      <c r="H70" s="294" t="e">
        <f>(F70/$E$91)*$F$91</f>
        <v>#DIV/0!</v>
      </c>
      <c r="I70" s="294">
        <f t="shared" si="1"/>
        <v>3.739080727211423</v>
      </c>
    </row>
    <row r="71" spans="1:9" ht="18" x14ac:dyDescent="0.25">
      <c r="A71" s="70"/>
      <c r="B71" s="273" t="s">
        <v>568</v>
      </c>
      <c r="C71" s="273" t="s">
        <v>1</v>
      </c>
      <c r="D71" s="237">
        <f>'_Emissões Agrícolas'!$C$58</f>
        <v>0.62942363781794286</v>
      </c>
      <c r="E71" s="237">
        <f>D71*$E$15</f>
        <v>9.9076524642857169E-3</v>
      </c>
      <c r="F71" s="238">
        <f>E71*1000*'Dados auxiliares'!$D$9</f>
        <v>2625.5279030357146</v>
      </c>
      <c r="G71" s="590"/>
      <c r="H71" s="294" t="e">
        <f t="shared" ref="H71:H72" si="5">(F71/$E$91)*$F$91</f>
        <v>#DIV/0!</v>
      </c>
      <c r="I71" s="294">
        <f t="shared" si="1"/>
        <v>1.482667733949893</v>
      </c>
    </row>
    <row r="72" spans="1:9" ht="18" x14ac:dyDescent="0.25">
      <c r="A72" s="70"/>
      <c r="B72" s="273" t="s">
        <v>569</v>
      </c>
      <c r="C72" s="273" t="s">
        <v>1</v>
      </c>
      <c r="D72" s="237">
        <f>'_Emissões Agrícolas'!$C$62</f>
        <v>1.0777436345896498</v>
      </c>
      <c r="E72" s="237">
        <f>D72*$E$15</f>
        <v>1.6964582731795835E-2</v>
      </c>
      <c r="F72" s="238">
        <f>E72*1000*'Dados auxiliares'!$D$9</f>
        <v>4495.6144239258956</v>
      </c>
      <c r="G72" s="590"/>
      <c r="H72" s="294" t="e">
        <f t="shared" si="5"/>
        <v>#DIV/0!</v>
      </c>
      <c r="I72" s="294">
        <f t="shared" si="1"/>
        <v>2.5387284754916548</v>
      </c>
    </row>
    <row r="73" spans="1:9" ht="18" x14ac:dyDescent="0.25">
      <c r="A73" s="230"/>
      <c r="B73" s="273" t="s">
        <v>438</v>
      </c>
      <c r="C73" s="273" t="s">
        <v>1</v>
      </c>
      <c r="D73" s="248"/>
      <c r="E73" s="237">
        <f>$E$18*'_Emissões Agrícolas'!$E$79+$E$19*'_Emissões Agrícolas'!$E$80</f>
        <v>6.3587333333333333</v>
      </c>
      <c r="F73" s="238">
        <f>E73*1000</f>
        <v>6358.7333333333336</v>
      </c>
      <c r="G73" s="590"/>
      <c r="H73" s="294" t="e">
        <f t="shared" ref="H73:H82" si="6">(F73/$E$91)*$F$91</f>
        <v>#DIV/0!</v>
      </c>
      <c r="I73" s="294">
        <f t="shared" si="1"/>
        <v>3.5908545215703764</v>
      </c>
    </row>
    <row r="74" spans="1:9" ht="18" x14ac:dyDescent="0.25">
      <c r="A74" s="230"/>
      <c r="B74" s="273" t="s">
        <v>439</v>
      </c>
      <c r="C74" s="273" t="s">
        <v>1</v>
      </c>
      <c r="D74" s="248"/>
      <c r="E74" s="237">
        <f>$E$21*'_Emissões Agrícolas'!$E$81</f>
        <v>0.42127659574468096</v>
      </c>
      <c r="F74" s="238">
        <f>E74*1000</f>
        <v>421.27659574468095</v>
      </c>
      <c r="G74" s="590"/>
      <c r="H74" s="294" t="e">
        <f t="shared" si="6"/>
        <v>#DIV/0!</v>
      </c>
      <c r="I74" s="294">
        <f t="shared" si="1"/>
        <v>0.23790004854135985</v>
      </c>
    </row>
    <row r="75" spans="1:9" ht="18" x14ac:dyDescent="0.25">
      <c r="A75" s="230"/>
      <c r="B75" s="273" t="s">
        <v>441</v>
      </c>
      <c r="C75" s="273" t="s">
        <v>1</v>
      </c>
      <c r="D75" s="237">
        <f>'_Emissões Agrícolas'!C73</f>
        <v>1.5518265199423899E-2</v>
      </c>
      <c r="E75" s="237">
        <f>D75*$E$15</f>
        <v>2.442704232995181E-4</v>
      </c>
      <c r="F75" s="238">
        <f>E75*1000*'Dados auxiliares'!$D$9</f>
        <v>64.731662174372289</v>
      </c>
      <c r="G75" s="590"/>
      <c r="H75" s="294" t="e">
        <f t="shared" si="6"/>
        <v>#DIV/0!</v>
      </c>
      <c r="I75" s="294">
        <f t="shared" si="1"/>
        <v>3.6554761714745726E-2</v>
      </c>
    </row>
    <row r="76" spans="1:9" ht="18" x14ac:dyDescent="0.25">
      <c r="A76" s="267"/>
      <c r="B76" s="273" t="s">
        <v>440</v>
      </c>
      <c r="C76" s="273" t="s">
        <v>1</v>
      </c>
      <c r="D76" s="237">
        <f>'_Emissões Agrícolas'!C74</f>
        <v>0.5985616576920646</v>
      </c>
      <c r="E76" s="237">
        <f>D76*$E$15</f>
        <v>9.4218591844099833E-3</v>
      </c>
      <c r="F76" s="238">
        <f>E76*1000*'Dados auxiliares'!$D$8</f>
        <v>263.81205716347955</v>
      </c>
      <c r="G76" s="590"/>
      <c r="H76" s="294" t="e">
        <f t="shared" si="6"/>
        <v>#DIV/0!</v>
      </c>
      <c r="I76" s="294">
        <f t="shared" si="1"/>
        <v>0.14897789679971846</v>
      </c>
    </row>
    <row r="77" spans="1:9" x14ac:dyDescent="0.25">
      <c r="A77" s="230"/>
      <c r="B77" s="273" t="s">
        <v>437</v>
      </c>
      <c r="C77" s="273" t="s">
        <v>1</v>
      </c>
      <c r="D77" s="237"/>
      <c r="E77" s="237">
        <f>$E$58*'FE''s queima combustíveis'!$I$64/1000</f>
        <v>8.0159067071999992</v>
      </c>
      <c r="F77" s="238">
        <f>E77*1000</f>
        <v>8015.9067071999989</v>
      </c>
      <c r="G77" s="590"/>
      <c r="H77" s="294" t="e">
        <f t="shared" si="6"/>
        <v>#DIV/0!</v>
      </c>
      <c r="I77" s="294">
        <f t="shared" si="1"/>
        <v>4.5266806036897425</v>
      </c>
    </row>
    <row r="78" spans="1:9" x14ac:dyDescent="0.25">
      <c r="A78" s="230"/>
      <c r="B78" s="273" t="s">
        <v>443</v>
      </c>
      <c r="C78" s="273" t="s">
        <v>1</v>
      </c>
      <c r="D78" s="237"/>
      <c r="E78" s="237">
        <f>$E$59*'FE''s queima combustíveis'!$I$65/1000</f>
        <v>4.8911523978239996E-3</v>
      </c>
      <c r="F78" s="238">
        <f t="shared" ref="F78:F82" si="7">E78*1000</f>
        <v>4.8911523978239995</v>
      </c>
      <c r="G78" s="590"/>
      <c r="H78" s="294" t="e">
        <f t="shared" si="6"/>
        <v>#DIV/0!</v>
      </c>
      <c r="I78" s="294">
        <f t="shared" si="1"/>
        <v>2.7620936093272395E-3</v>
      </c>
    </row>
    <row r="79" spans="1:9" x14ac:dyDescent="0.25">
      <c r="A79" s="230"/>
      <c r="B79" s="273" t="s">
        <v>492</v>
      </c>
      <c r="C79" s="273" t="s">
        <v>1</v>
      </c>
      <c r="D79" s="237"/>
      <c r="E79" s="237">
        <f>$E$60*'FE''s queima combustíveis'!$I$9/1000</f>
        <v>0</v>
      </c>
      <c r="F79" s="238">
        <f t="shared" si="7"/>
        <v>0</v>
      </c>
      <c r="G79" s="590"/>
      <c r="H79" s="294" t="e">
        <f t="shared" si="6"/>
        <v>#DIV/0!</v>
      </c>
      <c r="I79" s="294">
        <f t="shared" si="1"/>
        <v>0</v>
      </c>
    </row>
    <row r="80" spans="1:9" x14ac:dyDescent="0.25">
      <c r="A80" s="230"/>
      <c r="B80" s="273" t="s">
        <v>493</v>
      </c>
      <c r="C80" s="273" t="s">
        <v>1</v>
      </c>
      <c r="D80" s="237"/>
      <c r="E80" s="237">
        <f>$E$61*'FE''s queima combustíveis'!$I$7/1000</f>
        <v>0</v>
      </c>
      <c r="F80" s="238">
        <f t="shared" si="7"/>
        <v>0</v>
      </c>
      <c r="G80" s="590"/>
      <c r="H80" s="294" t="e">
        <f t="shared" si="6"/>
        <v>#DIV/0!</v>
      </c>
      <c r="I80" s="294">
        <f t="shared" si="1"/>
        <v>0</v>
      </c>
    </row>
    <row r="81" spans="1:9" x14ac:dyDescent="0.25">
      <c r="A81" s="230"/>
      <c r="B81" s="273" t="s">
        <v>494</v>
      </c>
      <c r="C81" s="273" t="s">
        <v>1</v>
      </c>
      <c r="D81" s="237"/>
      <c r="E81" s="237">
        <f>$E$62*'FE''s queima combustíveis'!$I$8/1000</f>
        <v>1.5554642999999999E-4</v>
      </c>
      <c r="F81" s="238">
        <f t="shared" si="7"/>
        <v>0.15554642999999999</v>
      </c>
      <c r="G81" s="590"/>
      <c r="H81" s="294" t="e">
        <f t="shared" si="6"/>
        <v>#DIV/0!</v>
      </c>
      <c r="I81" s="294">
        <f t="shared" si="1"/>
        <v>8.7838972355023005E-5</v>
      </c>
    </row>
    <row r="82" spans="1:9" x14ac:dyDescent="0.25">
      <c r="A82" s="230"/>
      <c r="B82" s="273" t="s">
        <v>444</v>
      </c>
      <c r="C82" s="273" t="s">
        <v>1</v>
      </c>
      <c r="D82" s="237"/>
      <c r="E82" s="237">
        <f>($E$63+E1GC!V78)*'FE''s queima combustíveis'!$I$66/1000</f>
        <v>0</v>
      </c>
      <c r="F82" s="238">
        <f t="shared" si="7"/>
        <v>0</v>
      </c>
      <c r="G82" s="590"/>
      <c r="H82" s="294" t="e">
        <f t="shared" si="6"/>
        <v>#DIV/0!</v>
      </c>
      <c r="I82" s="294">
        <f t="shared" si="1"/>
        <v>0</v>
      </c>
    </row>
    <row r="83" spans="1:9" ht="6" customHeight="1" x14ac:dyDescent="0.25">
      <c r="A83" s="268"/>
      <c r="B83" s="163"/>
      <c r="C83" s="251"/>
      <c r="D83" s="252"/>
      <c r="E83" s="252"/>
      <c r="F83" s="253"/>
      <c r="G83" s="596"/>
      <c r="H83" s="239"/>
    </row>
    <row r="84" spans="1:9" ht="18" x14ac:dyDescent="0.25">
      <c r="B84" s="276" t="s">
        <v>54</v>
      </c>
      <c r="C84" s="274" t="s">
        <v>509</v>
      </c>
      <c r="D84" s="241"/>
      <c r="E84" s="275"/>
      <c r="F84" s="290">
        <f>SUM(F70:F82)</f>
        <v>28871.863667119593</v>
      </c>
      <c r="G84" s="597"/>
      <c r="H84" s="290" t="e">
        <f>(F84/$E$91)*$F$91</f>
        <v>#DIV/0!</v>
      </c>
      <c r="I84" s="290">
        <f t="shared" si="1"/>
        <v>16.304294701550599</v>
      </c>
    </row>
    <row r="85" spans="1:9" ht="18" x14ac:dyDescent="0.25">
      <c r="B85" s="276" t="s">
        <v>61</v>
      </c>
      <c r="C85" s="274" t="s">
        <v>509</v>
      </c>
      <c r="D85" s="241"/>
      <c r="E85" s="275"/>
      <c r="F85" s="290">
        <f>SUM(F18:F42,F57:F68)</f>
        <v>9667.3777036313786</v>
      </c>
      <c r="G85" s="597"/>
      <c r="H85" s="290" t="e">
        <f>(F85/$E$91)*$F$91</f>
        <v>#DIV/0!</v>
      </c>
      <c r="I85" s="290">
        <f t="shared" ref="I85:I86" si="8">(F85/$E$92)*$F$92</f>
        <v>5.4592864834946226</v>
      </c>
    </row>
    <row r="86" spans="1:9" ht="18" x14ac:dyDescent="0.25">
      <c r="B86" s="276" t="s">
        <v>55</v>
      </c>
      <c r="C86" s="274" t="s">
        <v>509</v>
      </c>
      <c r="D86" s="241"/>
      <c r="E86" s="275"/>
      <c r="F86" s="290">
        <f>F84+F85</f>
        <v>38539.24137075097</v>
      </c>
      <c r="G86" s="597"/>
      <c r="H86" s="290" t="e">
        <f>(F86/$E$91)*$F$91</f>
        <v>#DIV/0!</v>
      </c>
      <c r="I86" s="290">
        <f t="shared" si="8"/>
        <v>21.763581185045219</v>
      </c>
    </row>
    <row r="87" spans="1:9" x14ac:dyDescent="0.25">
      <c r="B87" s="230"/>
      <c r="C87" s="255"/>
      <c r="D87" s="255"/>
      <c r="E87" s="255"/>
      <c r="F87" s="255"/>
      <c r="G87" s="255"/>
      <c r="H87" s="256"/>
    </row>
    <row r="88" spans="1:9" x14ac:dyDescent="0.25">
      <c r="B88" s="230"/>
      <c r="C88" s="255"/>
      <c r="D88" s="255"/>
      <c r="E88" s="255"/>
      <c r="F88" s="255"/>
      <c r="G88" s="255"/>
      <c r="H88" s="256"/>
    </row>
    <row r="89" spans="1:9" ht="18.75" x14ac:dyDescent="0.25">
      <c r="B89" s="737" t="s">
        <v>502</v>
      </c>
      <c r="C89" s="737"/>
      <c r="D89" s="737"/>
      <c r="E89" s="737"/>
      <c r="F89" s="737"/>
      <c r="G89" s="453"/>
      <c r="H89" s="740" t="s">
        <v>936</v>
      </c>
      <c r="I89" s="740" t="s">
        <v>937</v>
      </c>
    </row>
    <row r="90" spans="1:9" x14ac:dyDescent="0.25">
      <c r="B90" s="279" t="s">
        <v>495</v>
      </c>
      <c r="C90" s="280" t="s">
        <v>0</v>
      </c>
      <c r="D90" s="280" t="s">
        <v>56</v>
      </c>
      <c r="E90" s="280" t="s">
        <v>29</v>
      </c>
      <c r="F90" s="280" t="s">
        <v>330</v>
      </c>
      <c r="G90" s="583"/>
      <c r="H90" s="740"/>
      <c r="I90" s="740"/>
    </row>
    <row r="91" spans="1:9" s="71" customFormat="1" x14ac:dyDescent="0.25">
      <c r="B91" s="273" t="s">
        <v>45</v>
      </c>
      <c r="C91" s="273" t="s">
        <v>1</v>
      </c>
      <c r="D91" s="237">
        <f>E1GC!D90*'Dados auxiliares'!$D$15</f>
        <v>0</v>
      </c>
      <c r="E91" s="237">
        <f>D91*'Dados auxiliares'!$F$15</f>
        <v>0</v>
      </c>
      <c r="F91" s="258">
        <f>E91/SUM($E$91:$E$95)</f>
        <v>0</v>
      </c>
      <c r="G91" s="585"/>
      <c r="H91" s="740"/>
      <c r="I91" s="740"/>
    </row>
    <row r="92" spans="1:9" x14ac:dyDescent="0.25">
      <c r="B92" s="273" t="s">
        <v>46</v>
      </c>
      <c r="C92" s="273" t="s">
        <v>1</v>
      </c>
      <c r="D92" s="237">
        <f>E1GC!D91*'Dados auxiliares'!$D$16</f>
        <v>58.652500000000003</v>
      </c>
      <c r="E92" s="237">
        <f>D92*'Dados auxiliares'!$F$16</f>
        <v>1547.0676081000001</v>
      </c>
      <c r="F92" s="258">
        <f>E92/SUM($E$91:$E$95)</f>
        <v>0.87364800888871241</v>
      </c>
      <c r="G92" s="585"/>
      <c r="H92" s="740"/>
      <c r="I92" s="740"/>
    </row>
    <row r="93" spans="1:9" x14ac:dyDescent="0.25">
      <c r="B93" s="273" t="s">
        <v>136</v>
      </c>
      <c r="C93" s="273" t="s">
        <v>1</v>
      </c>
      <c r="D93" s="237">
        <f>E1GC!D92</f>
        <v>13.82</v>
      </c>
      <c r="E93" s="237">
        <f>D93*'Dados auxiliares'!D36</f>
        <v>223.74580000000003</v>
      </c>
      <c r="F93" s="258">
        <f>E93/SUM($E$91:$E$95)</f>
        <v>0.12635199111128753</v>
      </c>
      <c r="G93" s="585"/>
      <c r="H93" s="740"/>
      <c r="I93" s="740"/>
    </row>
    <row r="94" spans="1:9" x14ac:dyDescent="0.25">
      <c r="B94" s="273" t="s">
        <v>496</v>
      </c>
      <c r="C94" s="273" t="s">
        <v>57</v>
      </c>
      <c r="D94" s="237">
        <f>E1GC!D93</f>
        <v>0</v>
      </c>
      <c r="E94" s="237">
        <f>CONVERT(D94,"kWh","MJ")</f>
        <v>0</v>
      </c>
      <c r="F94" s="258">
        <f>E94/SUM($E$91:$E$95)</f>
        <v>0</v>
      </c>
      <c r="G94" s="585"/>
      <c r="H94" s="740"/>
      <c r="I94" s="740"/>
    </row>
    <row r="95" spans="1:9" ht="18" x14ac:dyDescent="0.25">
      <c r="B95" s="273" t="s">
        <v>250</v>
      </c>
      <c r="C95" s="273" t="s">
        <v>505</v>
      </c>
      <c r="D95" s="237">
        <f>E1GC!D94</f>
        <v>0</v>
      </c>
      <c r="E95" s="259" t="s">
        <v>5</v>
      </c>
      <c r="F95" s="259" t="s">
        <v>5</v>
      </c>
      <c r="G95" s="252"/>
      <c r="H95" s="740"/>
      <c r="I95" s="740"/>
    </row>
    <row r="96" spans="1:9" ht="18" x14ac:dyDescent="0.25">
      <c r="B96" s="281" t="s">
        <v>58</v>
      </c>
      <c r="C96" s="280" t="s">
        <v>0</v>
      </c>
      <c r="D96" s="280" t="s">
        <v>56</v>
      </c>
      <c r="E96" s="282"/>
      <c r="F96" s="283" t="s">
        <v>508</v>
      </c>
      <c r="G96" s="272"/>
      <c r="H96" s="283" t="s">
        <v>535</v>
      </c>
      <c r="I96" s="283" t="s">
        <v>535</v>
      </c>
    </row>
    <row r="97" spans="1:9" x14ac:dyDescent="0.25">
      <c r="B97" s="273" t="s">
        <v>19</v>
      </c>
      <c r="C97" s="273" t="s">
        <v>138</v>
      </c>
      <c r="D97" s="308">
        <v>1</v>
      </c>
      <c r="E97" s="259"/>
      <c r="F97" s="294">
        <f>D97*F86</f>
        <v>38539.24137075097</v>
      </c>
      <c r="G97" s="595"/>
      <c r="H97" s="294" t="e">
        <f t="shared" ref="H97:H141" si="9">(F97/$E$91)*$F$91</f>
        <v>#DIV/0!</v>
      </c>
      <c r="I97" s="294">
        <f t="shared" ref="I97:I117" si="10">(F97/$E$92)*$F$92</f>
        <v>21.763581185045219</v>
      </c>
    </row>
    <row r="98" spans="1:9" x14ac:dyDescent="0.25">
      <c r="A98" s="263"/>
      <c r="B98" s="273" t="s">
        <v>20</v>
      </c>
      <c r="C98" s="273" t="s">
        <v>1</v>
      </c>
      <c r="D98" s="277">
        <v>1500</v>
      </c>
      <c r="E98" s="259"/>
      <c r="F98" s="278">
        <f>D98*'Dados auxiliares'!$H$83</f>
        <v>13.202358602448482</v>
      </c>
      <c r="G98" s="598"/>
      <c r="H98" s="294" t="e">
        <f t="shared" si="9"/>
        <v>#DIV/0!</v>
      </c>
      <c r="I98" s="294">
        <f t="shared" si="10"/>
        <v>7.4555334526261547E-3</v>
      </c>
    </row>
    <row r="99" spans="1:9" x14ac:dyDescent="0.25">
      <c r="A99" s="263"/>
      <c r="B99" s="273" t="s">
        <v>21</v>
      </c>
      <c r="C99" s="273" t="s">
        <v>1</v>
      </c>
      <c r="D99" s="277">
        <v>0.82</v>
      </c>
      <c r="E99" s="259"/>
      <c r="F99" s="278">
        <f>D99*'Dados auxiliares'!$H$84</f>
        <v>788.62446998560051</v>
      </c>
      <c r="G99" s="598"/>
      <c r="H99" s="294" t="e">
        <f t="shared" si="9"/>
        <v>#DIV/0!</v>
      </c>
      <c r="I99" s="294">
        <f t="shared" si="10"/>
        <v>0.4453458881541662</v>
      </c>
    </row>
    <row r="100" spans="1:9" x14ac:dyDescent="0.25">
      <c r="A100" s="263"/>
      <c r="B100" s="273" t="s">
        <v>22</v>
      </c>
      <c r="C100" s="273" t="s">
        <v>1</v>
      </c>
      <c r="D100" s="277">
        <v>0.26500000000000001</v>
      </c>
      <c r="E100" s="259"/>
      <c r="F100" s="278">
        <f>D100*'Dados auxiliares'!$H$88</f>
        <v>28.980362820546588</v>
      </c>
      <c r="G100" s="598"/>
      <c r="H100" s="294" t="e">
        <f t="shared" si="9"/>
        <v>#DIV/0!</v>
      </c>
      <c r="I100" s="294">
        <f t="shared" si="10"/>
        <v>1.6365565501133831E-2</v>
      </c>
    </row>
    <row r="101" spans="1:9" x14ac:dyDescent="0.25">
      <c r="A101" s="263"/>
      <c r="B101" s="273" t="s">
        <v>23</v>
      </c>
      <c r="C101" s="273" t="s">
        <v>1</v>
      </c>
      <c r="D101" s="277">
        <f>176.5/1000</f>
        <v>0.17649999999999999</v>
      </c>
      <c r="E101" s="259"/>
      <c r="F101" s="278">
        <f>D101*'Dados auxiliares'!$H$89</f>
        <v>267.03160716266467</v>
      </c>
      <c r="G101" s="598"/>
      <c r="H101" s="294" t="e">
        <f t="shared" si="9"/>
        <v>#DIV/0!</v>
      </c>
      <c r="I101" s="294">
        <f t="shared" si="10"/>
        <v>0.15079601608007762</v>
      </c>
    </row>
    <row r="102" spans="1:9" x14ac:dyDescent="0.25">
      <c r="A102" s="263"/>
      <c r="B102" s="273" t="s">
        <v>178</v>
      </c>
      <c r="C102" s="273" t="s">
        <v>1</v>
      </c>
      <c r="D102" s="292">
        <f>2.555/1000</f>
        <v>2.555E-3</v>
      </c>
      <c r="E102" s="259"/>
      <c r="F102" s="278">
        <f>D102*'Dados auxiliares'!$H$91</f>
        <v>5.495541825757118</v>
      </c>
      <c r="G102" s="598"/>
      <c r="H102" s="294" t="e">
        <f t="shared" si="9"/>
        <v>#DIV/0!</v>
      </c>
      <c r="I102" s="294">
        <f t="shared" si="10"/>
        <v>3.1033997148539644E-3</v>
      </c>
    </row>
    <row r="103" spans="1:9" x14ac:dyDescent="0.25">
      <c r="A103" s="263"/>
      <c r="B103" s="273" t="s">
        <v>25</v>
      </c>
      <c r="C103" s="273" t="s">
        <v>1</v>
      </c>
      <c r="D103" s="293">
        <f>0.297/1000</f>
        <v>2.9700000000000001E-4</v>
      </c>
      <c r="E103" s="259"/>
      <c r="F103" s="278">
        <f>D103*'Dados auxiliares'!$H$92</f>
        <v>0.63881640792558292</v>
      </c>
      <c r="G103" s="598"/>
      <c r="H103" s="294" t="e">
        <f t="shared" si="9"/>
        <v>#DIV/0!</v>
      </c>
      <c r="I103" s="294">
        <f t="shared" si="10"/>
        <v>3.6074744239202652E-4</v>
      </c>
    </row>
    <row r="104" spans="1:9" x14ac:dyDescent="0.25">
      <c r="A104" s="263"/>
      <c r="B104" s="273" t="s">
        <v>26</v>
      </c>
      <c r="C104" s="273" t="s">
        <v>1</v>
      </c>
      <c r="D104" s="292">
        <f>13/1000</f>
        <v>1.2999999999999999E-2</v>
      </c>
      <c r="E104" s="259"/>
      <c r="F104" s="278">
        <f>D104*'Dados auxiliares'!$H$93</f>
        <v>14.708242207038198</v>
      </c>
      <c r="G104" s="598"/>
      <c r="H104" s="294" t="e">
        <f t="shared" si="9"/>
        <v>#DIV/0!</v>
      </c>
      <c r="I104" s="294">
        <f t="shared" si="10"/>
        <v>8.3059243507871642E-3</v>
      </c>
    </row>
    <row r="105" spans="1:9" x14ac:dyDescent="0.25">
      <c r="A105" s="263"/>
      <c r="B105" s="273" t="s">
        <v>27</v>
      </c>
      <c r="C105" s="273" t="s">
        <v>1</v>
      </c>
      <c r="D105" s="292">
        <f>(D91*0.03)/67.2</f>
        <v>0</v>
      </c>
      <c r="E105" s="259"/>
      <c r="F105" s="278">
        <f>D105*'Dados auxiliares'!$H$94</f>
        <v>0</v>
      </c>
      <c r="G105" s="598"/>
      <c r="H105" s="294" t="e">
        <f t="shared" si="9"/>
        <v>#DIV/0!</v>
      </c>
      <c r="I105" s="294">
        <f t="shared" si="10"/>
        <v>0</v>
      </c>
    </row>
    <row r="106" spans="1:9" ht="18" x14ac:dyDescent="0.25">
      <c r="B106" s="273" t="s">
        <v>391</v>
      </c>
      <c r="C106" s="273" t="s">
        <v>506</v>
      </c>
      <c r="D106" s="278">
        <f>E1GC!$D$98*(1-E1GC!$D$99)</f>
        <v>130.45500000000001</v>
      </c>
      <c r="E106" s="259"/>
      <c r="F106" s="277">
        <v>0</v>
      </c>
      <c r="G106" s="544"/>
      <c r="H106" s="294" t="e">
        <f t="shared" si="9"/>
        <v>#DIV/0!</v>
      </c>
      <c r="I106" s="294">
        <f t="shared" si="10"/>
        <v>0</v>
      </c>
    </row>
    <row r="107" spans="1:9" ht="18" x14ac:dyDescent="0.25">
      <c r="B107" s="273" t="s">
        <v>390</v>
      </c>
      <c r="C107" s="273" t="s">
        <v>506</v>
      </c>
      <c r="D107" s="278">
        <f>E1GC!$D$102*(1-E1GC!$D$103)</f>
        <v>16.190719999999999</v>
      </c>
      <c r="E107" s="259"/>
      <c r="F107" s="277">
        <v>0</v>
      </c>
      <c r="G107" s="544"/>
      <c r="H107" s="294" t="e">
        <f t="shared" si="9"/>
        <v>#DIV/0!</v>
      </c>
      <c r="I107" s="294">
        <f t="shared" si="10"/>
        <v>0</v>
      </c>
    </row>
    <row r="108" spans="1:9" ht="18" x14ac:dyDescent="0.25">
      <c r="B108" s="273" t="s">
        <v>389</v>
      </c>
      <c r="C108" s="273" t="s">
        <v>506</v>
      </c>
      <c r="D108" s="278">
        <f>E1GC!$D$106*(1-E1GC!$D$107)</f>
        <v>14.828364000000001</v>
      </c>
      <c r="E108" s="259"/>
      <c r="F108" s="277">
        <v>0</v>
      </c>
      <c r="G108" s="544"/>
      <c r="H108" s="294" t="e">
        <f t="shared" si="9"/>
        <v>#DIV/0!</v>
      </c>
      <c r="I108" s="294">
        <f t="shared" si="10"/>
        <v>0</v>
      </c>
    </row>
    <row r="109" spans="1:9" x14ac:dyDescent="0.25">
      <c r="B109" s="273" t="s">
        <v>498</v>
      </c>
      <c r="C109" s="273" t="s">
        <v>47</v>
      </c>
      <c r="D109" s="278">
        <f>((D108/1000)*E1GC!$D$108)</f>
        <v>1.3056374501999999</v>
      </c>
      <c r="E109" s="259"/>
      <c r="F109" s="278">
        <f>D109*'Dados auxiliares'!$H$131</f>
        <v>156.7874423176207</v>
      </c>
      <c r="G109" s="598"/>
      <c r="H109" s="294" t="e">
        <f t="shared" si="9"/>
        <v>#DIV/0!</v>
      </c>
      <c r="I109" s="294">
        <f t="shared" si="10"/>
        <v>8.8539787196351916E-2</v>
      </c>
    </row>
    <row r="110" spans="1:9" ht="18" x14ac:dyDescent="0.25">
      <c r="B110" s="273" t="s">
        <v>184</v>
      </c>
      <c r="C110" s="273" t="s">
        <v>506</v>
      </c>
      <c r="D110" s="278">
        <f>E1GC!$D$111*(1-E1GC!$D$112)</f>
        <v>4.8832000000000004</v>
      </c>
      <c r="E110" s="259"/>
      <c r="F110" s="278">
        <f>D110*'Dados auxiliares'!$H$78</f>
        <v>58.371283780034588</v>
      </c>
      <c r="G110" s="598"/>
      <c r="H110" s="294" t="e">
        <f t="shared" si="9"/>
        <v>#DIV/0!</v>
      </c>
      <c r="I110" s="294">
        <f t="shared" si="10"/>
        <v>3.2962978207096504E-2</v>
      </c>
    </row>
    <row r="111" spans="1:9" x14ac:dyDescent="0.25">
      <c r="B111" s="273" t="s">
        <v>499</v>
      </c>
      <c r="C111" s="273" t="s">
        <v>47</v>
      </c>
      <c r="D111" s="278">
        <f>((D110/1000)*E1GC!$D$113)</f>
        <v>0.35696192000000004</v>
      </c>
      <c r="E111" s="259"/>
      <c r="F111" s="278">
        <f>D111*'Dados auxiliares'!$H$131</f>
        <v>42.865763717955545</v>
      </c>
      <c r="G111" s="598"/>
      <c r="H111" s="294" t="e">
        <f t="shared" si="9"/>
        <v>#DIV/0!</v>
      </c>
      <c r="I111" s="294">
        <f t="shared" si="10"/>
        <v>2.4206821295727876E-2</v>
      </c>
    </row>
    <row r="112" spans="1:9" ht="18" x14ac:dyDescent="0.25">
      <c r="B112" s="273" t="s">
        <v>106</v>
      </c>
      <c r="C112" s="273" t="s">
        <v>506</v>
      </c>
      <c r="D112" s="278">
        <f>E1GC!$D$116*(1-E1GC!$D$117)</f>
        <v>0</v>
      </c>
      <c r="E112" s="259"/>
      <c r="F112" s="278">
        <f>D112*'Dados auxiliares'!$H$123</f>
        <v>0</v>
      </c>
      <c r="G112" s="598"/>
      <c r="H112" s="294" t="e">
        <f t="shared" si="9"/>
        <v>#DIV/0!</v>
      </c>
      <c r="I112" s="294">
        <f t="shared" si="10"/>
        <v>0</v>
      </c>
    </row>
    <row r="113" spans="1:9" x14ac:dyDescent="0.25">
      <c r="B113" s="273" t="s">
        <v>500</v>
      </c>
      <c r="C113" s="273" t="s">
        <v>47</v>
      </c>
      <c r="D113" s="278">
        <f>((D112/1000)*E1GC!$D$118)</f>
        <v>0</v>
      </c>
      <c r="E113" s="259"/>
      <c r="F113" s="278">
        <f>D113*'Dados auxiliares'!$H$131</f>
        <v>0</v>
      </c>
      <c r="G113" s="598"/>
      <c r="H113" s="294" t="e">
        <f t="shared" si="9"/>
        <v>#DIV/0!</v>
      </c>
      <c r="I113" s="294">
        <f t="shared" si="10"/>
        <v>0</v>
      </c>
    </row>
    <row r="114" spans="1:9" ht="18" x14ac:dyDescent="0.25">
      <c r="B114" s="273" t="s">
        <v>347</v>
      </c>
      <c r="C114" s="273" t="s">
        <v>506</v>
      </c>
      <c r="D114" s="278">
        <f>E1GC!$D$121*(1-E1GC!$D$122)</f>
        <v>0</v>
      </c>
      <c r="E114" s="259"/>
      <c r="F114" s="278">
        <f>D114*'Dados auxiliares'!$H$124</f>
        <v>0</v>
      </c>
      <c r="G114" s="598"/>
      <c r="H114" s="294" t="e">
        <f t="shared" si="9"/>
        <v>#DIV/0!</v>
      </c>
      <c r="I114" s="294">
        <f t="shared" si="10"/>
        <v>0</v>
      </c>
    </row>
    <row r="115" spans="1:9" x14ac:dyDescent="0.25">
      <c r="B115" s="273" t="s">
        <v>503</v>
      </c>
      <c r="C115" s="273" t="s">
        <v>47</v>
      </c>
      <c r="D115" s="278">
        <f>((D114/1000)*E1GC!$D$123)</f>
        <v>0</v>
      </c>
      <c r="E115" s="259"/>
      <c r="F115" s="278">
        <f>D115*'Dados auxiliares'!$H$131</f>
        <v>0</v>
      </c>
      <c r="G115" s="598"/>
      <c r="H115" s="294" t="e">
        <f t="shared" si="9"/>
        <v>#DIV/0!</v>
      </c>
      <c r="I115" s="294">
        <f t="shared" si="10"/>
        <v>0</v>
      </c>
    </row>
    <row r="116" spans="1:9" ht="18" x14ac:dyDescent="0.25">
      <c r="B116" s="273" t="s">
        <v>466</v>
      </c>
      <c r="C116" s="273" t="s">
        <v>506</v>
      </c>
      <c r="D116" s="278">
        <f>E1GC!$D$126*(1-E1GC!$D$127)</f>
        <v>0</v>
      </c>
      <c r="E116" s="259"/>
      <c r="F116" s="277">
        <v>0</v>
      </c>
      <c r="G116" s="544"/>
      <c r="H116" s="294" t="e">
        <f t="shared" si="9"/>
        <v>#DIV/0!</v>
      </c>
      <c r="I116" s="294">
        <f t="shared" si="10"/>
        <v>0</v>
      </c>
    </row>
    <row r="117" spans="1:9" x14ac:dyDescent="0.25">
      <c r="B117" s="273" t="s">
        <v>504</v>
      </c>
      <c r="C117" s="273" t="s">
        <v>47</v>
      </c>
      <c r="D117" s="278">
        <f>((D116/1000)*E1GC!$D$128)</f>
        <v>0</v>
      </c>
      <c r="E117" s="259"/>
      <c r="F117" s="278">
        <f>D117*'Dados auxiliares'!$H$131</f>
        <v>0</v>
      </c>
      <c r="G117" s="598"/>
      <c r="H117" s="294" t="e">
        <f t="shared" si="9"/>
        <v>#DIV/0!</v>
      </c>
      <c r="I117" s="294">
        <f t="shared" si="10"/>
        <v>0</v>
      </c>
    </row>
    <row r="118" spans="1:9" x14ac:dyDescent="0.25">
      <c r="B118" s="273" t="s">
        <v>851</v>
      </c>
      <c r="C118" s="273" t="s">
        <v>1</v>
      </c>
      <c r="D118" s="278">
        <f>E1GC!D131*'Dados auxiliares'!$D$30</f>
        <v>0</v>
      </c>
      <c r="E118" s="259"/>
      <c r="F118" s="278">
        <f>D118*'Dados auxiliares'!$H$126</f>
        <v>0</v>
      </c>
      <c r="G118" s="598"/>
      <c r="H118" s="294" t="e">
        <f t="shared" ref="H118:H124" si="11">(F118/$E$91)*$F$91</f>
        <v>#DIV/0!</v>
      </c>
      <c r="I118" s="294">
        <f t="shared" ref="I118:I124" si="12">(F118/$E$92)*$F$92</f>
        <v>0</v>
      </c>
    </row>
    <row r="119" spans="1:9" x14ac:dyDescent="0.25">
      <c r="B119" s="273" t="s">
        <v>923</v>
      </c>
      <c r="C119" s="273" t="s">
        <v>169</v>
      </c>
      <c r="D119" s="278">
        <f>E1GC!D135</f>
        <v>0</v>
      </c>
      <c r="E119" s="259"/>
      <c r="F119" s="278">
        <f>D119*E1GC!G135*'Dados auxiliares'!$H$125</f>
        <v>0</v>
      </c>
      <c r="G119" s="598"/>
      <c r="H119" s="294" t="e">
        <f t="shared" ref="H119:H120" si="13">(F119/$E$91)*$F$91</f>
        <v>#DIV/0!</v>
      </c>
      <c r="I119" s="294">
        <f t="shared" ref="I119:I120" si="14">(F119/$E$92)*$F$92</f>
        <v>0</v>
      </c>
    </row>
    <row r="120" spans="1:9" x14ac:dyDescent="0.25">
      <c r="B120" s="273" t="s">
        <v>376</v>
      </c>
      <c r="C120" s="273" t="s">
        <v>57</v>
      </c>
      <c r="D120" s="237">
        <f>E1GC!D136</f>
        <v>0.09</v>
      </c>
      <c r="E120" s="259"/>
      <c r="F120" s="278">
        <f>D120*'Dados auxiliares'!$H$107</f>
        <v>13.122161999999998</v>
      </c>
      <c r="G120" s="598"/>
      <c r="H120" s="294" t="e">
        <f t="shared" si="13"/>
        <v>#DIV/0!</v>
      </c>
      <c r="I120" s="294">
        <f t="shared" si="14"/>
        <v>7.4102454499028565E-3</v>
      </c>
    </row>
    <row r="121" spans="1:9" x14ac:dyDescent="0.25">
      <c r="B121" s="273" t="s">
        <v>375</v>
      </c>
      <c r="C121" s="273" t="s">
        <v>57</v>
      </c>
      <c r="D121" s="237">
        <f>E1GC!D137</f>
        <v>0</v>
      </c>
      <c r="E121" s="259"/>
      <c r="F121" s="278">
        <f>D121*'Dados auxiliares'!$H$108</f>
        <v>0</v>
      </c>
      <c r="G121" s="598"/>
      <c r="H121" s="294" t="e">
        <f t="shared" si="11"/>
        <v>#DIV/0!</v>
      </c>
      <c r="I121" s="294">
        <f t="shared" si="12"/>
        <v>0</v>
      </c>
    </row>
    <row r="122" spans="1:9" x14ac:dyDescent="0.25">
      <c r="B122" s="273" t="s">
        <v>372</v>
      </c>
      <c r="C122" s="273" t="s">
        <v>57</v>
      </c>
      <c r="D122" s="237">
        <f>E1GC!D138</f>
        <v>0</v>
      </c>
      <c r="E122" s="259"/>
      <c r="F122" s="278">
        <f>D122*'Dados auxiliares'!$H$109</f>
        <v>0</v>
      </c>
      <c r="G122" s="598"/>
      <c r="H122" s="294" t="e">
        <f t="shared" si="11"/>
        <v>#DIV/0!</v>
      </c>
      <c r="I122" s="294">
        <f t="shared" si="12"/>
        <v>0</v>
      </c>
    </row>
    <row r="123" spans="1:9" x14ac:dyDescent="0.25">
      <c r="B123" s="273" t="s">
        <v>373</v>
      </c>
      <c r="C123" s="273" t="s">
        <v>57</v>
      </c>
      <c r="D123" s="237">
        <f>E1GC!D139</f>
        <v>0</v>
      </c>
      <c r="E123" s="259"/>
      <c r="F123" s="278">
        <f>D123*'Dados auxiliares'!$H$110</f>
        <v>0</v>
      </c>
      <c r="G123" s="598"/>
      <c r="H123" s="294" t="e">
        <f t="shared" si="11"/>
        <v>#DIV/0!</v>
      </c>
      <c r="I123" s="294">
        <f t="shared" si="12"/>
        <v>0</v>
      </c>
    </row>
    <row r="124" spans="1:9" x14ac:dyDescent="0.25">
      <c r="B124" s="273" t="s">
        <v>374</v>
      </c>
      <c r="C124" s="273" t="s">
        <v>57</v>
      </c>
      <c r="D124" s="237">
        <f>E1GC!D140</f>
        <v>0</v>
      </c>
      <c r="E124" s="259"/>
      <c r="F124" s="278">
        <f>D124*'Dados auxiliares'!$H$111</f>
        <v>0</v>
      </c>
      <c r="G124" s="598"/>
      <c r="H124" s="294" t="e">
        <f t="shared" si="11"/>
        <v>#DIV/0!</v>
      </c>
      <c r="I124" s="294">
        <f t="shared" si="12"/>
        <v>0</v>
      </c>
    </row>
    <row r="125" spans="1:9" ht="18" x14ac:dyDescent="0.25">
      <c r="A125" s="230"/>
      <c r="B125" s="283" t="s">
        <v>52</v>
      </c>
      <c r="C125" s="280" t="s">
        <v>0</v>
      </c>
      <c r="D125" s="280" t="s">
        <v>56</v>
      </c>
      <c r="E125" s="283"/>
      <c r="F125" s="283" t="s">
        <v>508</v>
      </c>
      <c r="G125" s="272"/>
      <c r="H125" s="283" t="s">
        <v>535</v>
      </c>
      <c r="I125" s="283" t="s">
        <v>535</v>
      </c>
    </row>
    <row r="126" spans="1:9" x14ac:dyDescent="0.25">
      <c r="A126" s="299"/>
      <c r="B126" s="273" t="s">
        <v>521</v>
      </c>
      <c r="C126" s="273" t="s">
        <v>1</v>
      </c>
      <c r="D126" s="278">
        <f>$D$106*'FE''s queima combustíveis'!$I$36/1000</f>
        <v>0.8116910100000001</v>
      </c>
      <c r="E126" s="259"/>
      <c r="F126" s="238">
        <f>D126*1000</f>
        <v>811.69101000000012</v>
      </c>
      <c r="G126" s="590"/>
      <c r="H126" s="294" t="e">
        <f t="shared" si="9"/>
        <v>#DIV/0!</v>
      </c>
      <c r="I126" s="294">
        <f t="shared" ref="I126:I132" si="15">(F126/$E$92)*$F$92</f>
        <v>0.45837184555255117</v>
      </c>
    </row>
    <row r="127" spans="1:9" x14ac:dyDescent="0.25">
      <c r="A127" s="299"/>
      <c r="B127" s="273" t="s">
        <v>522</v>
      </c>
      <c r="C127" s="273" t="s">
        <v>1</v>
      </c>
      <c r="D127" s="278">
        <f>$D$107*'FE''s queima combustíveis'!$I$37/1000</f>
        <v>0.10073865983999999</v>
      </c>
      <c r="E127" s="259"/>
      <c r="F127" s="238">
        <f t="shared" ref="F127:F137" si="16">D127*1000</f>
        <v>100.73865984</v>
      </c>
      <c r="G127" s="590"/>
      <c r="H127" s="294" t="e">
        <f t="shared" si="9"/>
        <v>#DIV/0!</v>
      </c>
      <c r="I127" s="294">
        <f t="shared" si="15"/>
        <v>5.6888353893868385E-2</v>
      </c>
    </row>
    <row r="128" spans="1:9" x14ac:dyDescent="0.25">
      <c r="A128" s="299"/>
      <c r="B128" s="273" t="s">
        <v>516</v>
      </c>
      <c r="C128" s="273" t="s">
        <v>1</v>
      </c>
      <c r="D128" s="278">
        <f>$D$108*'FE''s queima combustíveis'!$I$36/1000</f>
        <v>9.226208080800001E-2</v>
      </c>
      <c r="E128" s="259"/>
      <c r="F128" s="238">
        <f t="shared" si="16"/>
        <v>92.262080808000007</v>
      </c>
      <c r="G128" s="590"/>
      <c r="H128" s="294" t="e">
        <f t="shared" si="9"/>
        <v>#DIV/0!</v>
      </c>
      <c r="I128" s="294">
        <f t="shared" si="15"/>
        <v>5.2101525991376407E-2</v>
      </c>
    </row>
    <row r="129" spans="1:9" x14ac:dyDescent="0.25">
      <c r="A129" s="299"/>
      <c r="B129" s="273" t="s">
        <v>517</v>
      </c>
      <c r="C129" s="273" t="s">
        <v>1</v>
      </c>
      <c r="D129" s="278">
        <f>$D$110*'FE''s queima combustíveis'!$I$37/1000</f>
        <v>3.0383270400000006E-2</v>
      </c>
      <c r="E129" s="259"/>
      <c r="F129" s="238">
        <f t="shared" si="16"/>
        <v>30.383270400000004</v>
      </c>
      <c r="G129" s="590"/>
      <c r="H129" s="294" t="e">
        <f t="shared" si="9"/>
        <v>#DIV/0!</v>
      </c>
      <c r="I129" s="294">
        <f t="shared" si="15"/>
        <v>1.7157804577840774E-2</v>
      </c>
    </row>
    <row r="130" spans="1:9" x14ac:dyDescent="0.25">
      <c r="A130" s="299"/>
      <c r="B130" s="273" t="s">
        <v>520</v>
      </c>
      <c r="C130" s="273" t="s">
        <v>1</v>
      </c>
      <c r="D130" s="278">
        <f>$D$112*'FE''s queima combustíveis'!$I$38/1000</f>
        <v>0</v>
      </c>
      <c r="E130" s="259"/>
      <c r="F130" s="238">
        <f t="shared" si="16"/>
        <v>0</v>
      </c>
      <c r="G130" s="590"/>
      <c r="H130" s="294" t="e">
        <f t="shared" si="9"/>
        <v>#DIV/0!</v>
      </c>
      <c r="I130" s="294">
        <f t="shared" si="15"/>
        <v>0</v>
      </c>
    </row>
    <row r="131" spans="1:9" x14ac:dyDescent="0.25">
      <c r="A131" s="299"/>
      <c r="B131" s="273" t="s">
        <v>518</v>
      </c>
      <c r="C131" s="273" t="s">
        <v>1</v>
      </c>
      <c r="D131" s="278">
        <f>$D$114*'FE''s queima combustíveis'!$I$39/1000</f>
        <v>0</v>
      </c>
      <c r="E131" s="259"/>
      <c r="F131" s="238">
        <f t="shared" si="16"/>
        <v>0</v>
      </c>
      <c r="G131" s="590"/>
      <c r="H131" s="294" t="e">
        <f t="shared" si="9"/>
        <v>#DIV/0!</v>
      </c>
      <c r="I131" s="294">
        <f t="shared" si="15"/>
        <v>0</v>
      </c>
    </row>
    <row r="132" spans="1:9" x14ac:dyDescent="0.25">
      <c r="A132" s="299"/>
      <c r="B132" s="273" t="s">
        <v>519</v>
      </c>
      <c r="C132" s="273" t="s">
        <v>1</v>
      </c>
      <c r="D132" s="278">
        <f>$D$116*'FE''s queima combustíveis'!$I$40/1000</f>
        <v>0</v>
      </c>
      <c r="E132" s="259"/>
      <c r="F132" s="238">
        <f t="shared" si="16"/>
        <v>0</v>
      </c>
      <c r="G132" s="590"/>
      <c r="H132" s="294" t="e">
        <f t="shared" si="9"/>
        <v>#DIV/0!</v>
      </c>
      <c r="I132" s="294">
        <f t="shared" si="15"/>
        <v>0</v>
      </c>
    </row>
    <row r="133" spans="1:9" x14ac:dyDescent="0.25">
      <c r="A133" s="299"/>
      <c r="B133" s="273" t="s">
        <v>848</v>
      </c>
      <c r="C133" s="273" t="s">
        <v>1</v>
      </c>
      <c r="D133" s="278">
        <f>D118*'FE''s queima combustíveis'!$I$53/1000</f>
        <v>0</v>
      </c>
      <c r="E133" s="259"/>
      <c r="F133" s="238">
        <f t="shared" si="16"/>
        <v>0</v>
      </c>
      <c r="G133" s="590"/>
      <c r="H133" s="294" t="e">
        <f t="shared" ref="H133:H136" si="17">(F133/$E$91)*$F$91</f>
        <v>#DIV/0!</v>
      </c>
      <c r="I133" s="294">
        <f t="shared" ref="I133:I136" si="18">(F133/$E$92)*$F$92</f>
        <v>0</v>
      </c>
    </row>
    <row r="134" spans="1:9" x14ac:dyDescent="0.25">
      <c r="A134" s="299"/>
      <c r="B134" s="273" t="s">
        <v>849</v>
      </c>
      <c r="C134" s="273" t="s">
        <v>1</v>
      </c>
      <c r="D134" s="278">
        <f>E1GC!D132*'Dados auxiliares'!$D$16*'FE''s queima combustíveis'!$I$57/1000</f>
        <v>0</v>
      </c>
      <c r="E134" s="259"/>
      <c r="F134" s="238">
        <f t="shared" si="16"/>
        <v>0</v>
      </c>
      <c r="G134" s="590"/>
      <c r="H134" s="294" t="e">
        <f t="shared" si="17"/>
        <v>#DIV/0!</v>
      </c>
      <c r="I134" s="294">
        <f t="shared" si="18"/>
        <v>0</v>
      </c>
    </row>
    <row r="135" spans="1:9" x14ac:dyDescent="0.25">
      <c r="A135" s="299"/>
      <c r="B135" s="273" t="s">
        <v>850</v>
      </c>
      <c r="C135" s="273" t="s">
        <v>1</v>
      </c>
      <c r="D135" s="278">
        <f>E1GC!D133*'Dados auxiliares'!$D$15*'FE''s queima combustíveis'!$I$55/1000</f>
        <v>0</v>
      </c>
      <c r="E135" s="259"/>
      <c r="F135" s="238">
        <f t="shared" si="16"/>
        <v>0</v>
      </c>
      <c r="G135" s="590"/>
      <c r="H135" s="294" t="e">
        <f t="shared" si="17"/>
        <v>#DIV/0!</v>
      </c>
      <c r="I135" s="294">
        <f t="shared" si="18"/>
        <v>0</v>
      </c>
    </row>
    <row r="136" spans="1:9" x14ac:dyDescent="0.25">
      <c r="A136" s="299"/>
      <c r="B136" s="273" t="s">
        <v>925</v>
      </c>
      <c r="C136" s="273" t="s">
        <v>1</v>
      </c>
      <c r="D136" s="278">
        <f>E1GC!D134*E1GC!G134*'FE''s queima combustíveis'!$I$41/1000</f>
        <v>0</v>
      </c>
      <c r="E136" s="259"/>
      <c r="F136" s="238">
        <f t="shared" si="16"/>
        <v>0</v>
      </c>
      <c r="G136" s="590"/>
      <c r="H136" s="294" t="e">
        <f t="shared" si="17"/>
        <v>#DIV/0!</v>
      </c>
      <c r="I136" s="294">
        <f t="shared" si="18"/>
        <v>0</v>
      </c>
    </row>
    <row r="137" spans="1:9" x14ac:dyDescent="0.25">
      <c r="A137" s="299"/>
      <c r="B137" s="273" t="s">
        <v>926</v>
      </c>
      <c r="C137" s="273" t="s">
        <v>1</v>
      </c>
      <c r="D137" s="278">
        <f>E1GC!D135*E1GC!G135*'FE''s queima combustíveis'!$I$41/1000</f>
        <v>0</v>
      </c>
      <c r="E137" s="259"/>
      <c r="F137" s="238">
        <f t="shared" si="16"/>
        <v>0</v>
      </c>
      <c r="G137" s="590"/>
      <c r="H137" s="294" t="e">
        <f t="shared" ref="H137" si="19">(F137/$E$91)*$F$91</f>
        <v>#DIV/0!</v>
      </c>
      <c r="I137" s="294">
        <f t="shared" ref="I137" si="20">(F137/$E$92)*$F$92</f>
        <v>0</v>
      </c>
    </row>
    <row r="138" spans="1:9" ht="6" customHeight="1" x14ac:dyDescent="0.25">
      <c r="A138" s="268"/>
      <c r="B138" s="163"/>
      <c r="C138" s="163"/>
      <c r="D138" s="260"/>
      <c r="E138" s="269"/>
      <c r="F138" s="270"/>
      <c r="G138" s="599"/>
      <c r="H138" s="260"/>
    </row>
    <row r="139" spans="1:9" ht="18" x14ac:dyDescent="0.25">
      <c r="A139" s="268"/>
      <c r="B139" s="276" t="s">
        <v>54</v>
      </c>
      <c r="C139" s="274" t="s">
        <v>509</v>
      </c>
      <c r="D139" s="241"/>
      <c r="E139" s="275"/>
      <c r="F139" s="290">
        <f>SUM(F126:F137)</f>
        <v>1035.0750210480001</v>
      </c>
      <c r="G139" s="597"/>
      <c r="H139" s="290" t="e">
        <f t="shared" si="9"/>
        <v>#DIV/0!</v>
      </c>
      <c r="I139" s="290">
        <f t="shared" ref="I139:I141" si="21">(F139/$E$92)*$F$92</f>
        <v>0.58451953001563672</v>
      </c>
    </row>
    <row r="140" spans="1:9" ht="18" customHeight="1" x14ac:dyDescent="0.25">
      <c r="A140" s="240"/>
      <c r="B140" s="276" t="s">
        <v>61</v>
      </c>
      <c r="C140" s="274" t="s">
        <v>509</v>
      </c>
      <c r="D140" s="241"/>
      <c r="E140" s="275"/>
      <c r="F140" s="290">
        <f>SUM(F97:F124)</f>
        <v>39929.06942157857</v>
      </c>
      <c r="G140" s="597"/>
      <c r="H140" s="290" t="e">
        <f t="shared" si="9"/>
        <v>#DIV/0!</v>
      </c>
      <c r="I140" s="290">
        <f t="shared" si="21"/>
        <v>22.548434091890343</v>
      </c>
    </row>
    <row r="141" spans="1:9" ht="18" x14ac:dyDescent="0.25">
      <c r="B141" s="276" t="s">
        <v>55</v>
      </c>
      <c r="C141" s="274" t="s">
        <v>509</v>
      </c>
      <c r="D141" s="241"/>
      <c r="E141" s="275"/>
      <c r="F141" s="290">
        <f>F139+F140</f>
        <v>40964.144442626566</v>
      </c>
      <c r="G141" s="597"/>
      <c r="H141" s="290" t="e">
        <f t="shared" si="9"/>
        <v>#DIV/0!</v>
      </c>
      <c r="I141" s="290">
        <f t="shared" si="21"/>
        <v>23.132953621905976</v>
      </c>
    </row>
    <row r="142" spans="1:9" x14ac:dyDescent="0.25">
      <c r="B142" s="166"/>
      <c r="C142" s="254"/>
      <c r="D142" s="260"/>
      <c r="E142" s="266"/>
      <c r="F142" s="159"/>
      <c r="G142" s="159"/>
      <c r="H142" s="260"/>
    </row>
    <row r="143" spans="1:9" s="71" customFormat="1" x14ac:dyDescent="0.25">
      <c r="B143" s="231"/>
      <c r="C143" s="231"/>
      <c r="D143" s="231"/>
      <c r="E143" s="271"/>
      <c r="F143" s="272"/>
      <c r="G143" s="272"/>
      <c r="H143" s="249"/>
    </row>
    <row r="144" spans="1:9" s="71" customFormat="1" ht="18.75" x14ac:dyDescent="0.25">
      <c r="B144" s="737" t="s">
        <v>524</v>
      </c>
      <c r="C144" s="737"/>
      <c r="D144" s="737"/>
      <c r="E144" s="737"/>
      <c r="F144" s="737"/>
      <c r="G144" s="453"/>
      <c r="H144" s="249"/>
    </row>
    <row r="145" spans="2:9" s="71" customFormat="1" x14ac:dyDescent="0.25">
      <c r="B145" s="573" t="s">
        <v>904</v>
      </c>
      <c r="C145" s="280"/>
      <c r="D145" s="280"/>
      <c r="E145" s="280"/>
      <c r="F145" s="280"/>
      <c r="G145" s="583"/>
      <c r="H145" s="249"/>
    </row>
    <row r="146" spans="2:9" s="71" customFormat="1" x14ac:dyDescent="0.25">
      <c r="B146" s="300" t="s">
        <v>529</v>
      </c>
      <c r="C146" s="300" t="s">
        <v>0</v>
      </c>
      <c r="D146" s="300" t="s">
        <v>45</v>
      </c>
      <c r="E146" s="300" t="s">
        <v>46</v>
      </c>
      <c r="F146" s="300"/>
      <c r="G146" s="600"/>
      <c r="H146"/>
      <c r="I146"/>
    </row>
    <row r="147" spans="2:9" s="71" customFormat="1" ht="18" x14ac:dyDescent="0.25">
      <c r="B147" s="273" t="s">
        <v>525</v>
      </c>
      <c r="C147" s="274" t="s">
        <v>526</v>
      </c>
      <c r="D147" s="278">
        <f>$D$91*E1GC!$D$146</f>
        <v>0</v>
      </c>
      <c r="E147" s="278">
        <f>$D$92*E1GC!$D$152</f>
        <v>58.652500000000003</v>
      </c>
      <c r="F147" s="278"/>
      <c r="G147" s="598"/>
      <c r="H147"/>
      <c r="I147"/>
    </row>
    <row r="148" spans="2:9" s="71" customFormat="1" x14ac:dyDescent="0.25">
      <c r="B148" s="273" t="s">
        <v>531</v>
      </c>
      <c r="C148" s="273" t="s">
        <v>258</v>
      </c>
      <c r="D148" s="277">
        <f>'Dados auxiliares'!C153</f>
        <v>700</v>
      </c>
      <c r="E148" s="277">
        <f>'Dados auxiliares'!C153</f>
        <v>700</v>
      </c>
      <c r="F148" s="277"/>
      <c r="G148" s="544"/>
      <c r="H148"/>
      <c r="I148"/>
    </row>
    <row r="149" spans="2:9" s="71" customFormat="1" ht="18" x14ac:dyDescent="0.25">
      <c r="B149" s="273" t="s">
        <v>528</v>
      </c>
      <c r="C149" s="274" t="s">
        <v>527</v>
      </c>
      <c r="D149" s="278">
        <f>D147/1000*D148</f>
        <v>0</v>
      </c>
      <c r="E149" s="278">
        <f>E147/1000*E148</f>
        <v>41.056750000000001</v>
      </c>
      <c r="F149" s="278"/>
      <c r="G149" s="598"/>
      <c r="H149"/>
      <c r="I149"/>
    </row>
    <row r="150" spans="2:9" s="71" customFormat="1" ht="18" x14ac:dyDescent="0.25">
      <c r="B150" s="273" t="s">
        <v>52</v>
      </c>
      <c r="C150" s="274" t="s">
        <v>509</v>
      </c>
      <c r="D150" s="278">
        <f>D149*'Dados auxiliares'!$H$132</f>
        <v>0</v>
      </c>
      <c r="E150" s="278">
        <f>E149*'Dados auxiliares'!$H$132</f>
        <v>2980.3241495391203</v>
      </c>
      <c r="F150" s="278"/>
      <c r="G150" s="598"/>
      <c r="H150"/>
      <c r="I150"/>
    </row>
    <row r="151" spans="2:9" s="71" customFormat="1" ht="18" x14ac:dyDescent="0.25">
      <c r="B151" s="302" t="s">
        <v>52</v>
      </c>
      <c r="C151" s="303" t="s">
        <v>530</v>
      </c>
      <c r="D151" s="304" t="e">
        <f>D150/$E$91</f>
        <v>#DIV/0!</v>
      </c>
      <c r="E151" s="304">
        <f>E150/$E$92</f>
        <v>1.926434329007344</v>
      </c>
      <c r="F151" s="304"/>
      <c r="G151" s="601"/>
      <c r="H151"/>
      <c r="I151"/>
    </row>
    <row r="152" spans="2:9" s="71" customFormat="1" x14ac:dyDescent="0.25">
      <c r="B152" s="573" t="s">
        <v>905</v>
      </c>
      <c r="C152" s="280"/>
      <c r="D152" s="280"/>
      <c r="E152" s="280"/>
      <c r="F152" s="280"/>
      <c r="G152" s="583"/>
      <c r="H152"/>
      <c r="I152"/>
    </row>
    <row r="153" spans="2:9" s="71" customFormat="1" x14ac:dyDescent="0.25">
      <c r="B153" s="300" t="s">
        <v>529</v>
      </c>
      <c r="C153" s="300" t="s">
        <v>0</v>
      </c>
      <c r="D153" s="300" t="s">
        <v>45</v>
      </c>
      <c r="E153" s="300" t="s">
        <v>46</v>
      </c>
      <c r="F153" s="300"/>
      <c r="G153" s="600"/>
      <c r="H153"/>
      <c r="I153"/>
    </row>
    <row r="154" spans="2:9" s="71" customFormat="1" ht="18" x14ac:dyDescent="0.25">
      <c r="B154" s="273" t="s">
        <v>525</v>
      </c>
      <c r="C154" s="274" t="s">
        <v>526</v>
      </c>
      <c r="D154" s="278">
        <f>$D$91*E1GC!$D$147</f>
        <v>0</v>
      </c>
      <c r="E154" s="278">
        <f>$D$92*E1GC!$D$153</f>
        <v>0</v>
      </c>
      <c r="F154" s="301"/>
      <c r="G154" s="601"/>
      <c r="H154"/>
      <c r="I154"/>
    </row>
    <row r="155" spans="2:9" s="71" customFormat="1" x14ac:dyDescent="0.25">
      <c r="B155" s="273" t="s">
        <v>531</v>
      </c>
      <c r="C155" s="273" t="s">
        <v>258</v>
      </c>
      <c r="D155" s="277">
        <f>'Dados auxiliares'!E153</f>
        <v>200</v>
      </c>
      <c r="E155" s="277">
        <f>'Dados auxiliares'!E153</f>
        <v>200</v>
      </c>
      <c r="F155" s="301"/>
      <c r="G155" s="601"/>
      <c r="H155"/>
      <c r="I155"/>
    </row>
    <row r="156" spans="2:9" s="71" customFormat="1" ht="18" x14ac:dyDescent="0.25">
      <c r="B156" s="273" t="s">
        <v>528</v>
      </c>
      <c r="C156" s="274" t="s">
        <v>527</v>
      </c>
      <c r="D156" s="278">
        <f>D154/1000*D155</f>
        <v>0</v>
      </c>
      <c r="E156" s="278">
        <f>E154/1000*E155</f>
        <v>0</v>
      </c>
      <c r="F156" s="301"/>
      <c r="G156" s="601"/>
      <c r="H156"/>
      <c r="I156"/>
    </row>
    <row r="157" spans="2:9" s="71" customFormat="1" x14ac:dyDescent="0.25">
      <c r="B157" s="273" t="s">
        <v>532</v>
      </c>
      <c r="C157" s="273" t="s">
        <v>258</v>
      </c>
      <c r="D157" s="277">
        <f>'Dados auxiliares'!D153</f>
        <v>500</v>
      </c>
      <c r="E157" s="277">
        <f>'Dados auxiliares'!D153</f>
        <v>500</v>
      </c>
      <c r="F157" s="301"/>
      <c r="G157" s="601"/>
      <c r="H157" s="70"/>
    </row>
    <row r="158" spans="2:9" s="71" customFormat="1" ht="18" x14ac:dyDescent="0.25">
      <c r="B158" s="273" t="s">
        <v>533</v>
      </c>
      <c r="C158" s="274" t="s">
        <v>527</v>
      </c>
      <c r="D158" s="278">
        <f>D154/1000*D157</f>
        <v>0</v>
      </c>
      <c r="E158" s="278">
        <f>E154/1000*E157</f>
        <v>0</v>
      </c>
      <c r="F158" s="301"/>
      <c r="G158" s="601"/>
      <c r="H158" s="70"/>
    </row>
    <row r="159" spans="2:9" s="71" customFormat="1" ht="18" x14ac:dyDescent="0.25">
      <c r="B159" s="273" t="s">
        <v>52</v>
      </c>
      <c r="C159" s="274" t="s">
        <v>509</v>
      </c>
      <c r="D159" s="278">
        <f>D156*'Dados auxiliares'!$H$132+D158*'Dados auxiliares'!$H$136</f>
        <v>0</v>
      </c>
      <c r="E159" s="278">
        <f>E156*'Dados auxiliares'!$H$132+E158*'Dados auxiliares'!$H$136</f>
        <v>0</v>
      </c>
      <c r="F159" s="301"/>
      <c r="G159" s="601"/>
      <c r="H159" s="70"/>
    </row>
    <row r="160" spans="2:9" s="71" customFormat="1" ht="18" x14ac:dyDescent="0.25">
      <c r="B160" s="302" t="s">
        <v>52</v>
      </c>
      <c r="C160" s="303" t="s">
        <v>530</v>
      </c>
      <c r="D160" s="304" t="e">
        <f>D159/$E$91</f>
        <v>#DIV/0!</v>
      </c>
      <c r="E160" s="304">
        <f>E159/$E$92</f>
        <v>0</v>
      </c>
      <c r="F160" s="304"/>
      <c r="G160" s="601"/>
      <c r="H160" s="70"/>
    </row>
    <row r="161" spans="2:8" s="71" customFormat="1" x14ac:dyDescent="0.25">
      <c r="B161" s="573" t="s">
        <v>906</v>
      </c>
      <c r="C161" s="280"/>
      <c r="D161" s="280"/>
      <c r="E161" s="280"/>
      <c r="F161" s="280"/>
      <c r="G161" s="583"/>
      <c r="H161" s="70"/>
    </row>
    <row r="162" spans="2:8" s="71" customFormat="1" x14ac:dyDescent="0.25">
      <c r="B162" s="300" t="s">
        <v>529</v>
      </c>
      <c r="C162" s="300" t="s">
        <v>0</v>
      </c>
      <c r="D162" s="300" t="s">
        <v>45</v>
      </c>
      <c r="E162" s="300" t="s">
        <v>46</v>
      </c>
      <c r="F162" s="300"/>
      <c r="G162" s="600"/>
      <c r="H162" s="70"/>
    </row>
    <row r="163" spans="2:8" s="71" customFormat="1" ht="18" x14ac:dyDescent="0.25">
      <c r="B163" s="273" t="s">
        <v>525</v>
      </c>
      <c r="C163" s="274" t="s">
        <v>526</v>
      </c>
      <c r="D163" s="278">
        <f>$D$91*E1GC!$D$148</f>
        <v>0</v>
      </c>
      <c r="E163" s="278">
        <f>$D$92*E1GC!$D$154</f>
        <v>0</v>
      </c>
      <c r="F163" s="301"/>
      <c r="G163" s="601"/>
      <c r="H163" s="70"/>
    </row>
    <row r="164" spans="2:8" s="71" customFormat="1" x14ac:dyDescent="0.25">
      <c r="B164" s="273" t="s">
        <v>531</v>
      </c>
      <c r="C164" s="273" t="s">
        <v>258</v>
      </c>
      <c r="D164" s="277">
        <f>'Dados auxiliares'!G153</f>
        <v>400</v>
      </c>
      <c r="E164" s="277">
        <f>'Dados auxiliares'!G153</f>
        <v>400</v>
      </c>
      <c r="F164" s="301"/>
      <c r="G164" s="601"/>
      <c r="H164" s="70"/>
    </row>
    <row r="165" spans="2:8" s="71" customFormat="1" ht="18" x14ac:dyDescent="0.25">
      <c r="B165" s="273" t="s">
        <v>528</v>
      </c>
      <c r="C165" s="274" t="s">
        <v>527</v>
      </c>
      <c r="D165" s="278">
        <f>D163/1000*D164</f>
        <v>0</v>
      </c>
      <c r="E165" s="278">
        <f>E163/1000*E164</f>
        <v>0</v>
      </c>
      <c r="F165" s="301"/>
      <c r="G165" s="601"/>
      <c r="H165" s="70"/>
    </row>
    <row r="166" spans="2:8" s="71" customFormat="1" x14ac:dyDescent="0.25">
      <c r="B166" s="273" t="s">
        <v>534</v>
      </c>
      <c r="C166" s="273" t="s">
        <v>258</v>
      </c>
      <c r="D166" s="277">
        <f>'Dados auxiliares'!F153</f>
        <v>300</v>
      </c>
      <c r="E166" s="277">
        <f>'Dados auxiliares'!F153</f>
        <v>300</v>
      </c>
      <c r="F166" s="301"/>
      <c r="G166" s="601"/>
      <c r="H166" s="70"/>
    </row>
    <row r="167" spans="2:8" s="71" customFormat="1" ht="18" x14ac:dyDescent="0.25">
      <c r="B167" s="273" t="s">
        <v>311</v>
      </c>
      <c r="C167" s="274" t="s">
        <v>527</v>
      </c>
      <c r="D167" s="278">
        <f>D163/1000*D166</f>
        <v>0</v>
      </c>
      <c r="E167" s="278">
        <f>E163/1000*E166</f>
        <v>0</v>
      </c>
      <c r="F167" s="301"/>
      <c r="G167" s="601"/>
      <c r="H167" s="70"/>
    </row>
    <row r="168" spans="2:8" s="71" customFormat="1" ht="18" x14ac:dyDescent="0.25">
      <c r="B168" s="273" t="s">
        <v>52</v>
      </c>
      <c r="C168" s="274" t="s">
        <v>509</v>
      </c>
      <c r="D168" s="278">
        <f>D165*'Dados auxiliares'!$H$132+D167*'Dados auxiliares'!$H$135</f>
        <v>0</v>
      </c>
      <c r="E168" s="278">
        <f>E165*'Dados auxiliares'!$H$132+E167*'Dados auxiliares'!$H$135</f>
        <v>0</v>
      </c>
      <c r="F168" s="301"/>
      <c r="G168" s="601"/>
      <c r="H168" s="70"/>
    </row>
    <row r="169" spans="2:8" s="71" customFormat="1" ht="18" x14ac:dyDescent="0.25">
      <c r="B169" s="302" t="s">
        <v>52</v>
      </c>
      <c r="C169" s="303" t="s">
        <v>530</v>
      </c>
      <c r="D169" s="304" t="e">
        <f>D168/$E$91</f>
        <v>#DIV/0!</v>
      </c>
      <c r="E169" s="304">
        <f>E168/$E$92</f>
        <v>0</v>
      </c>
      <c r="F169" s="304"/>
      <c r="G169" s="601"/>
      <c r="H169" s="70"/>
    </row>
    <row r="170" spans="2:8" s="71" customFormat="1" ht="6" customHeight="1" x14ac:dyDescent="0.25">
      <c r="H170" s="70"/>
    </row>
    <row r="171" spans="2:8" s="71" customFormat="1" ht="18" x14ac:dyDescent="0.25">
      <c r="B171" s="279" t="s">
        <v>55</v>
      </c>
      <c r="C171" s="279" t="s">
        <v>535</v>
      </c>
      <c r="D171" s="305" t="e">
        <f>D151+D160+D169</f>
        <v>#DIV/0!</v>
      </c>
      <c r="E171" s="305">
        <f>E151+E160+E169</f>
        <v>1.926434329007344</v>
      </c>
      <c r="F171" s="305"/>
      <c r="G171" s="602"/>
      <c r="H171" s="70"/>
    </row>
    <row r="172" spans="2:8" s="71" customFormat="1" x14ac:dyDescent="0.25">
      <c r="B172" s="70"/>
      <c r="C172" s="70"/>
      <c r="D172" s="70"/>
      <c r="E172" s="261"/>
      <c r="F172" s="230"/>
      <c r="G172" s="230"/>
      <c r="H172" s="70"/>
    </row>
    <row r="173" spans="2:8" s="71" customFormat="1" x14ac:dyDescent="0.25">
      <c r="B173" s="70"/>
      <c r="C173" s="70"/>
      <c r="D173" s="70"/>
      <c r="E173" s="261"/>
      <c r="F173" s="230"/>
      <c r="G173" s="230"/>
      <c r="H173" s="70"/>
    </row>
    <row r="174" spans="2:8" s="71" customFormat="1" x14ac:dyDescent="0.25">
      <c r="B174" s="70"/>
      <c r="C174" s="70"/>
      <c r="D174" s="70"/>
      <c r="E174" s="261"/>
      <c r="F174" s="230"/>
      <c r="G174" s="230"/>
      <c r="H174" s="70"/>
    </row>
    <row r="175" spans="2:8" s="71" customFormat="1" x14ac:dyDescent="0.25">
      <c r="B175" s="70"/>
      <c r="C175" s="70"/>
      <c r="D175" s="70"/>
      <c r="E175" s="261"/>
      <c r="F175" s="230"/>
      <c r="G175" s="230"/>
      <c r="H175" s="70"/>
    </row>
    <row r="176" spans="2:8" s="71" customFormat="1" x14ac:dyDescent="0.25">
      <c r="B176" s="70"/>
      <c r="C176" s="70"/>
      <c r="D176" s="70"/>
      <c r="E176" s="261"/>
      <c r="F176" s="230"/>
      <c r="G176" s="230"/>
      <c r="H176" s="70"/>
    </row>
    <row r="177" spans="1:8" s="71" customFormat="1" x14ac:dyDescent="0.25">
      <c r="B177" s="70"/>
      <c r="C177" s="70"/>
      <c r="D177" s="70"/>
      <c r="E177" s="261"/>
      <c r="F177" s="230"/>
      <c r="G177" s="230"/>
      <c r="H177" s="70"/>
    </row>
    <row r="178" spans="1:8" s="71" customFormat="1" x14ac:dyDescent="0.25">
      <c r="B178" s="70"/>
      <c r="C178" s="70"/>
      <c r="D178" s="70"/>
      <c r="E178" s="261"/>
      <c r="F178" s="230"/>
      <c r="G178" s="230"/>
      <c r="H178" s="70"/>
    </row>
    <row r="179" spans="1:8" s="71" customFormat="1" x14ac:dyDescent="0.25">
      <c r="B179" s="70"/>
      <c r="C179" s="70"/>
      <c r="D179" s="70"/>
      <c r="E179" s="261"/>
      <c r="F179" s="230"/>
      <c r="G179" s="230"/>
      <c r="H179" s="70"/>
    </row>
    <row r="180" spans="1:8" s="71" customFormat="1" x14ac:dyDescent="0.25">
      <c r="B180" s="70"/>
      <c r="C180" s="70"/>
      <c r="D180" s="70"/>
      <c r="E180" s="261"/>
      <c r="F180" s="230"/>
      <c r="G180" s="230"/>
      <c r="H180" s="70"/>
    </row>
    <row r="181" spans="1:8" s="71" customFormat="1" x14ac:dyDescent="0.25">
      <c r="B181" s="70"/>
      <c r="C181" s="70"/>
      <c r="D181" s="70"/>
      <c r="E181" s="261"/>
      <c r="F181" s="230"/>
      <c r="G181" s="230"/>
      <c r="H181" s="70"/>
    </row>
    <row r="182" spans="1:8" s="71" customFormat="1" x14ac:dyDescent="0.25">
      <c r="B182" s="70"/>
      <c r="C182" s="70"/>
      <c r="D182" s="70"/>
      <c r="E182" s="261"/>
      <c r="F182" s="230"/>
      <c r="G182" s="230"/>
      <c r="H182" s="70"/>
    </row>
    <row r="183" spans="1:8" s="230" customFormat="1" x14ac:dyDescent="0.25">
      <c r="A183" s="71"/>
      <c r="B183" s="70"/>
      <c r="C183" s="70"/>
      <c r="D183" s="70"/>
      <c r="E183" s="261"/>
      <c r="H183" s="70"/>
    </row>
    <row r="184" spans="1:8" s="230" customFormat="1" x14ac:dyDescent="0.25">
      <c r="A184" s="71"/>
      <c r="B184" s="70"/>
      <c r="C184" s="70"/>
      <c r="D184" s="70"/>
      <c r="E184" s="261"/>
      <c r="H184" s="70"/>
    </row>
    <row r="185" spans="1:8" s="230" customFormat="1" x14ac:dyDescent="0.25">
      <c r="A185" s="71"/>
      <c r="B185" s="70"/>
      <c r="C185" s="70"/>
      <c r="D185" s="70"/>
      <c r="E185" s="261"/>
      <c r="H185" s="70"/>
    </row>
    <row r="186" spans="1:8" s="230" customFormat="1" x14ac:dyDescent="0.25">
      <c r="A186" s="71"/>
      <c r="B186" s="70"/>
      <c r="C186" s="70"/>
      <c r="D186" s="70"/>
      <c r="E186" s="261"/>
      <c r="H186" s="70"/>
    </row>
    <row r="187" spans="1:8" s="230" customFormat="1" x14ac:dyDescent="0.25">
      <c r="A187" s="71"/>
      <c r="B187" s="70"/>
      <c r="C187" s="70"/>
      <c r="D187" s="70"/>
      <c r="E187" s="261"/>
      <c r="H187" s="70"/>
    </row>
    <row r="188" spans="1:8" s="230" customFormat="1" x14ac:dyDescent="0.25">
      <c r="A188" s="71"/>
      <c r="B188" s="70"/>
      <c r="C188" s="70"/>
      <c r="D188" s="70"/>
      <c r="E188" s="261"/>
      <c r="H188" s="70"/>
    </row>
    <row r="189" spans="1:8" s="230" customFormat="1" x14ac:dyDescent="0.25">
      <c r="A189" s="71"/>
      <c r="B189" s="70"/>
      <c r="C189" s="70"/>
      <c r="D189" s="70"/>
      <c r="E189" s="261"/>
      <c r="H189" s="70"/>
    </row>
    <row r="190" spans="1:8" s="230" customFormat="1" x14ac:dyDescent="0.25">
      <c r="A190" s="71"/>
      <c r="B190" s="70"/>
      <c r="C190" s="70"/>
      <c r="D190" s="70"/>
      <c r="E190" s="261"/>
      <c r="H190" s="70"/>
    </row>
    <row r="191" spans="1:8" s="230" customFormat="1" x14ac:dyDescent="0.25">
      <c r="A191" s="71"/>
      <c r="B191" s="70"/>
      <c r="C191" s="70"/>
      <c r="D191" s="70"/>
      <c r="E191" s="261"/>
      <c r="H191" s="70"/>
    </row>
    <row r="192" spans="1:8" s="230" customFormat="1" x14ac:dyDescent="0.25">
      <c r="A192" s="71"/>
      <c r="B192" s="70"/>
      <c r="C192" s="70"/>
      <c r="D192" s="70"/>
      <c r="E192" s="261"/>
      <c r="H192" s="70"/>
    </row>
    <row r="193" spans="1:8" s="230" customFormat="1" x14ac:dyDescent="0.25">
      <c r="A193" s="71"/>
      <c r="B193" s="70"/>
      <c r="C193" s="70"/>
      <c r="D193" s="70"/>
      <c r="E193" s="261"/>
      <c r="H193" s="70"/>
    </row>
    <row r="194" spans="1:8" s="230" customFormat="1" x14ac:dyDescent="0.25">
      <c r="A194" s="71"/>
      <c r="B194" s="70"/>
      <c r="C194" s="70"/>
      <c r="D194" s="70"/>
      <c r="E194" s="261"/>
      <c r="H194" s="70"/>
    </row>
    <row r="195" spans="1:8" s="230" customFormat="1" x14ac:dyDescent="0.25">
      <c r="A195" s="71"/>
      <c r="B195" s="70"/>
      <c r="C195" s="70"/>
      <c r="D195" s="70"/>
      <c r="E195" s="261"/>
      <c r="H195" s="70"/>
    </row>
    <row r="196" spans="1:8" s="230" customFormat="1" x14ac:dyDescent="0.25">
      <c r="A196" s="71"/>
      <c r="B196" s="70"/>
      <c r="C196" s="70"/>
      <c r="D196" s="70"/>
      <c r="E196" s="261"/>
      <c r="H196" s="70"/>
    </row>
    <row r="197" spans="1:8" s="230" customFormat="1" x14ac:dyDescent="0.25">
      <c r="A197" s="71"/>
      <c r="B197" s="70"/>
      <c r="C197" s="70"/>
      <c r="D197" s="70"/>
      <c r="E197" s="261"/>
      <c r="H197" s="70"/>
    </row>
    <row r="198" spans="1:8" s="230" customFormat="1" x14ac:dyDescent="0.25">
      <c r="A198" s="71"/>
      <c r="B198" s="70"/>
      <c r="C198" s="70"/>
      <c r="D198" s="70"/>
      <c r="E198" s="261"/>
      <c r="H198" s="70"/>
    </row>
    <row r="199" spans="1:8" s="230" customFormat="1" x14ac:dyDescent="0.25">
      <c r="A199" s="71"/>
      <c r="B199" s="70"/>
      <c r="C199" s="70"/>
      <c r="D199" s="70"/>
      <c r="E199" s="261"/>
      <c r="H199" s="70"/>
    </row>
    <row r="200" spans="1:8" s="230" customFormat="1" x14ac:dyDescent="0.25">
      <c r="A200" s="71"/>
      <c r="B200" s="70"/>
      <c r="C200" s="70"/>
      <c r="D200" s="70"/>
      <c r="E200" s="261"/>
      <c r="H200" s="70"/>
    </row>
    <row r="201" spans="1:8" s="230" customFormat="1" x14ac:dyDescent="0.25">
      <c r="A201" s="71"/>
      <c r="B201" s="70"/>
      <c r="C201" s="70"/>
      <c r="D201" s="70"/>
      <c r="E201" s="261"/>
      <c r="H201" s="70"/>
    </row>
    <row r="202" spans="1:8" s="230" customFormat="1" x14ac:dyDescent="0.25">
      <c r="A202" s="71"/>
      <c r="B202" s="70"/>
      <c r="C202" s="70"/>
      <c r="D202" s="70"/>
      <c r="E202" s="261"/>
      <c r="H202" s="70"/>
    </row>
    <row r="203" spans="1:8" s="230" customFormat="1" x14ac:dyDescent="0.25">
      <c r="A203" s="71"/>
      <c r="B203" s="70"/>
      <c r="C203" s="70"/>
      <c r="D203" s="70"/>
      <c r="E203" s="261"/>
      <c r="H203" s="70"/>
    </row>
    <row r="204" spans="1:8" s="230" customFormat="1" x14ac:dyDescent="0.25">
      <c r="A204" s="71"/>
      <c r="B204" s="70"/>
      <c r="C204" s="70"/>
      <c r="D204" s="70"/>
      <c r="E204" s="261"/>
      <c r="H204" s="70"/>
    </row>
    <row r="205" spans="1:8" s="230" customFormat="1" x14ac:dyDescent="0.25">
      <c r="A205" s="71"/>
      <c r="B205" s="70"/>
      <c r="C205" s="70"/>
      <c r="D205" s="70"/>
      <c r="E205" s="261"/>
      <c r="H205" s="70"/>
    </row>
    <row r="206" spans="1:8" s="230" customFormat="1" x14ac:dyDescent="0.25">
      <c r="A206" s="71"/>
      <c r="B206" s="70"/>
      <c r="C206" s="70"/>
      <c r="D206" s="70"/>
      <c r="E206" s="261"/>
      <c r="H206" s="70"/>
    </row>
    <row r="207" spans="1:8" s="230" customFormat="1" x14ac:dyDescent="0.25">
      <c r="A207" s="71"/>
      <c r="B207" s="70"/>
      <c r="C207" s="70"/>
      <c r="D207" s="70"/>
      <c r="E207" s="261"/>
      <c r="H207" s="70"/>
    </row>
    <row r="208" spans="1:8" s="230" customFormat="1" x14ac:dyDescent="0.25">
      <c r="A208" s="71"/>
      <c r="B208" s="70"/>
      <c r="C208" s="70"/>
      <c r="D208" s="70"/>
      <c r="E208" s="261"/>
      <c r="H208" s="70"/>
    </row>
    <row r="209" spans="1:8" s="230" customFormat="1" x14ac:dyDescent="0.25">
      <c r="A209" s="71"/>
      <c r="B209" s="70"/>
      <c r="C209" s="70"/>
      <c r="D209" s="70"/>
      <c r="E209" s="261"/>
      <c r="H209" s="70"/>
    </row>
    <row r="210" spans="1:8" s="230" customFormat="1" x14ac:dyDescent="0.25">
      <c r="A210" s="71"/>
      <c r="B210" s="70"/>
      <c r="C210" s="70"/>
      <c r="D210" s="70"/>
      <c r="E210" s="261"/>
      <c r="H210" s="70"/>
    </row>
    <row r="211" spans="1:8" s="230" customFormat="1" x14ac:dyDescent="0.25">
      <c r="A211" s="71"/>
      <c r="B211" s="70"/>
      <c r="C211" s="70"/>
      <c r="D211" s="70"/>
      <c r="E211" s="261"/>
      <c r="H211" s="70"/>
    </row>
    <row r="212" spans="1:8" s="230" customFormat="1" x14ac:dyDescent="0.25">
      <c r="A212" s="71"/>
      <c r="B212" s="70"/>
      <c r="C212" s="70"/>
      <c r="D212" s="70"/>
      <c r="E212" s="261"/>
      <c r="H212" s="70"/>
    </row>
    <row r="213" spans="1:8" s="230" customFormat="1" x14ac:dyDescent="0.25">
      <c r="A213" s="71"/>
      <c r="B213" s="70"/>
      <c r="C213" s="70"/>
      <c r="D213" s="70"/>
      <c r="E213" s="261"/>
      <c r="H213" s="70"/>
    </row>
    <row r="214" spans="1:8" s="230" customFormat="1" x14ac:dyDescent="0.25">
      <c r="A214" s="71"/>
      <c r="B214" s="70"/>
      <c r="C214" s="70"/>
      <c r="D214" s="70"/>
      <c r="E214" s="261"/>
      <c r="H214" s="70"/>
    </row>
    <row r="215" spans="1:8" s="230" customFormat="1" x14ac:dyDescent="0.25">
      <c r="A215" s="71"/>
      <c r="B215" s="70"/>
      <c r="C215" s="70"/>
      <c r="D215" s="70"/>
      <c r="E215" s="261"/>
      <c r="H215" s="70"/>
    </row>
    <row r="216" spans="1:8" s="230" customFormat="1" x14ac:dyDescent="0.25">
      <c r="A216" s="71"/>
      <c r="B216" s="70"/>
      <c r="C216" s="70"/>
      <c r="D216" s="70"/>
      <c r="E216" s="261"/>
      <c r="H216" s="70"/>
    </row>
    <row r="217" spans="1:8" s="230" customFormat="1" x14ac:dyDescent="0.25">
      <c r="A217" s="71"/>
      <c r="B217" s="70"/>
      <c r="C217" s="70"/>
      <c r="D217" s="70"/>
      <c r="E217" s="261"/>
      <c r="H217" s="70"/>
    </row>
    <row r="218" spans="1:8" s="230" customFormat="1" x14ac:dyDescent="0.25">
      <c r="A218" s="71"/>
      <c r="B218" s="70"/>
      <c r="C218" s="70"/>
      <c r="D218" s="70"/>
      <c r="E218" s="261"/>
      <c r="H218" s="70"/>
    </row>
    <row r="219" spans="1:8" s="230" customFormat="1" x14ac:dyDescent="0.25">
      <c r="A219" s="71"/>
      <c r="B219" s="70"/>
      <c r="C219" s="70"/>
      <c r="D219" s="70"/>
      <c r="E219" s="261"/>
      <c r="H219" s="70"/>
    </row>
    <row r="220" spans="1:8" s="230" customFormat="1" x14ac:dyDescent="0.25">
      <c r="A220" s="71"/>
      <c r="B220" s="70"/>
      <c r="C220" s="70"/>
      <c r="D220" s="70"/>
      <c r="E220" s="261"/>
      <c r="H220" s="70"/>
    </row>
    <row r="221" spans="1:8" s="230" customFormat="1" x14ac:dyDescent="0.25">
      <c r="A221" s="71"/>
      <c r="B221" s="70"/>
      <c r="C221" s="70"/>
      <c r="D221" s="70"/>
      <c r="E221" s="261"/>
      <c r="H221" s="70"/>
    </row>
    <row r="222" spans="1:8" s="230" customFormat="1" x14ac:dyDescent="0.25">
      <c r="A222" s="71"/>
      <c r="B222" s="70"/>
      <c r="C222" s="70"/>
      <c r="D222" s="70"/>
      <c r="E222" s="261"/>
      <c r="H222" s="70"/>
    </row>
    <row r="223" spans="1:8" s="230" customFormat="1" x14ac:dyDescent="0.25">
      <c r="A223" s="71"/>
      <c r="B223" s="70"/>
      <c r="C223" s="70"/>
      <c r="D223" s="70"/>
      <c r="E223" s="261"/>
      <c r="H223" s="70"/>
    </row>
    <row r="224" spans="1:8" s="230" customFormat="1" x14ac:dyDescent="0.25">
      <c r="A224" s="71"/>
      <c r="B224" s="70"/>
      <c r="C224" s="70"/>
      <c r="D224" s="70"/>
      <c r="E224" s="261"/>
      <c r="H224" s="70"/>
    </row>
    <row r="225" spans="1:8" s="230" customFormat="1" x14ac:dyDescent="0.25">
      <c r="A225" s="71"/>
      <c r="B225" s="70"/>
      <c r="C225" s="70"/>
      <c r="D225" s="70"/>
      <c r="E225" s="261"/>
      <c r="H225" s="70"/>
    </row>
    <row r="226" spans="1:8" s="230" customFormat="1" x14ac:dyDescent="0.25">
      <c r="A226" s="71"/>
      <c r="B226" s="70"/>
      <c r="C226" s="70"/>
      <c r="D226" s="70"/>
      <c r="E226" s="261"/>
      <c r="H226" s="70"/>
    </row>
    <row r="227" spans="1:8" s="230" customFormat="1" x14ac:dyDescent="0.25">
      <c r="A227" s="71"/>
      <c r="B227" s="70"/>
      <c r="C227" s="70"/>
      <c r="D227" s="70"/>
      <c r="E227" s="261"/>
      <c r="H227" s="70"/>
    </row>
    <row r="228" spans="1:8" s="230" customFormat="1" x14ac:dyDescent="0.25">
      <c r="A228" s="71"/>
      <c r="B228" s="70"/>
      <c r="C228" s="70"/>
      <c r="D228" s="70"/>
      <c r="E228" s="261"/>
      <c r="H228" s="70"/>
    </row>
    <row r="229" spans="1:8" s="230" customFormat="1" x14ac:dyDescent="0.25">
      <c r="A229" s="71"/>
      <c r="B229" s="70"/>
      <c r="C229" s="70"/>
      <c r="D229" s="70"/>
      <c r="E229" s="261"/>
      <c r="H229" s="70"/>
    </row>
    <row r="230" spans="1:8" s="230" customFormat="1" x14ac:dyDescent="0.25">
      <c r="A230" s="71"/>
      <c r="B230" s="70"/>
      <c r="C230" s="70"/>
      <c r="D230" s="70"/>
      <c r="E230" s="261"/>
      <c r="H230" s="70"/>
    </row>
    <row r="231" spans="1:8" s="230" customFormat="1" x14ac:dyDescent="0.25">
      <c r="A231" s="71"/>
      <c r="B231" s="70"/>
      <c r="C231" s="70"/>
      <c r="D231" s="70"/>
      <c r="E231" s="261"/>
      <c r="H231" s="70"/>
    </row>
    <row r="232" spans="1:8" s="230" customFormat="1" x14ac:dyDescent="0.25">
      <c r="A232" s="71"/>
      <c r="B232" s="70"/>
      <c r="C232" s="70"/>
      <c r="D232" s="70"/>
      <c r="E232" s="261"/>
      <c r="H232" s="70"/>
    </row>
    <row r="233" spans="1:8" s="230" customFormat="1" x14ac:dyDescent="0.25">
      <c r="A233" s="71"/>
      <c r="B233" s="70"/>
      <c r="C233" s="70"/>
      <c r="D233" s="70"/>
      <c r="E233" s="261"/>
      <c r="H233" s="70"/>
    </row>
    <row r="234" spans="1:8" s="230" customFormat="1" x14ac:dyDescent="0.25">
      <c r="A234" s="71"/>
      <c r="B234" s="70"/>
      <c r="C234" s="70"/>
      <c r="D234" s="70"/>
      <c r="E234" s="261"/>
      <c r="H234" s="70"/>
    </row>
    <row r="235" spans="1:8" s="230" customFormat="1" x14ac:dyDescent="0.25">
      <c r="A235" s="71"/>
      <c r="B235" s="70"/>
      <c r="C235" s="70"/>
      <c r="D235" s="70"/>
      <c r="E235" s="261"/>
      <c r="H235" s="70"/>
    </row>
    <row r="236" spans="1:8" s="230" customFormat="1" x14ac:dyDescent="0.25">
      <c r="A236" s="71"/>
      <c r="B236" s="70"/>
      <c r="C236" s="70"/>
      <c r="D236" s="70"/>
      <c r="E236" s="261"/>
      <c r="H236" s="70"/>
    </row>
    <row r="237" spans="1:8" s="230" customFormat="1" x14ac:dyDescent="0.25">
      <c r="A237" s="71"/>
      <c r="B237" s="70"/>
      <c r="C237" s="70"/>
      <c r="D237" s="70"/>
      <c r="E237" s="261"/>
      <c r="H237" s="70"/>
    </row>
    <row r="238" spans="1:8" s="230" customFormat="1" x14ac:dyDescent="0.25">
      <c r="A238" s="71"/>
      <c r="B238" s="70"/>
      <c r="C238" s="70"/>
      <c r="D238" s="70"/>
      <c r="E238" s="261"/>
      <c r="H238" s="70"/>
    </row>
    <row r="239" spans="1:8" s="230" customFormat="1" x14ac:dyDescent="0.25">
      <c r="A239" s="71"/>
      <c r="B239" s="70"/>
      <c r="C239" s="70"/>
      <c r="D239" s="70"/>
      <c r="E239" s="261"/>
      <c r="H239" s="70"/>
    </row>
    <row r="240" spans="1:8" s="230" customFormat="1" x14ac:dyDescent="0.25">
      <c r="A240" s="71"/>
      <c r="B240" s="70"/>
      <c r="C240" s="70"/>
      <c r="D240" s="70"/>
      <c r="E240" s="261"/>
      <c r="H240" s="70"/>
    </row>
    <row r="241" spans="1:8" s="230" customFormat="1" x14ac:dyDescent="0.25">
      <c r="A241" s="71"/>
      <c r="B241" s="70"/>
      <c r="C241" s="70"/>
      <c r="D241" s="70"/>
      <c r="E241" s="261"/>
      <c r="H241" s="70"/>
    </row>
    <row r="242" spans="1:8" s="230" customFormat="1" x14ac:dyDescent="0.25">
      <c r="A242" s="71"/>
      <c r="B242" s="70"/>
      <c r="C242" s="70"/>
      <c r="D242" s="70"/>
      <c r="E242" s="261"/>
      <c r="H242" s="70"/>
    </row>
    <row r="243" spans="1:8" s="230" customFormat="1" x14ac:dyDescent="0.25">
      <c r="A243" s="71"/>
      <c r="B243" s="70"/>
      <c r="C243" s="70"/>
      <c r="D243" s="70"/>
      <c r="E243" s="261"/>
      <c r="H243" s="70"/>
    </row>
    <row r="244" spans="1:8" s="230" customFormat="1" x14ac:dyDescent="0.25">
      <c r="A244" s="71"/>
      <c r="B244" s="70"/>
      <c r="C244" s="70"/>
      <c r="D244" s="70"/>
      <c r="E244" s="261"/>
      <c r="H244" s="70"/>
    </row>
    <row r="245" spans="1:8" s="230" customFormat="1" x14ac:dyDescent="0.25">
      <c r="A245" s="71"/>
      <c r="B245" s="70"/>
      <c r="C245" s="70"/>
      <c r="D245" s="70"/>
      <c r="E245" s="261"/>
      <c r="H245" s="70"/>
    </row>
    <row r="246" spans="1:8" s="230" customFormat="1" x14ac:dyDescent="0.25">
      <c r="A246" s="71"/>
      <c r="B246" s="70"/>
      <c r="C246" s="70"/>
      <c r="D246" s="70"/>
      <c r="E246" s="261"/>
      <c r="H246" s="70"/>
    </row>
    <row r="247" spans="1:8" s="230" customFormat="1" x14ac:dyDescent="0.25">
      <c r="A247" s="71"/>
      <c r="B247" s="70"/>
      <c r="C247" s="70"/>
      <c r="D247" s="70"/>
      <c r="E247" s="261"/>
      <c r="H247" s="70"/>
    </row>
    <row r="248" spans="1:8" s="230" customFormat="1" x14ac:dyDescent="0.25">
      <c r="A248" s="71"/>
      <c r="B248" s="70"/>
      <c r="C248" s="70"/>
      <c r="D248" s="70"/>
      <c r="E248" s="261"/>
      <c r="H248" s="70"/>
    </row>
    <row r="249" spans="1:8" s="230" customFormat="1" x14ac:dyDescent="0.25">
      <c r="A249" s="71"/>
      <c r="B249" s="70"/>
      <c r="C249" s="70"/>
      <c r="D249" s="70"/>
      <c r="E249" s="261"/>
      <c r="H249" s="70"/>
    </row>
    <row r="250" spans="1:8" s="230" customFormat="1" x14ac:dyDescent="0.25">
      <c r="A250" s="71"/>
      <c r="B250" s="70"/>
      <c r="C250" s="70"/>
      <c r="D250" s="70"/>
      <c r="E250" s="261"/>
      <c r="H250" s="70"/>
    </row>
    <row r="251" spans="1:8" s="230" customFormat="1" x14ac:dyDescent="0.25">
      <c r="A251" s="71"/>
      <c r="B251" s="70"/>
      <c r="C251" s="70"/>
      <c r="D251" s="70"/>
      <c r="E251" s="261"/>
      <c r="H251" s="70"/>
    </row>
    <row r="252" spans="1:8" s="230" customFormat="1" x14ac:dyDescent="0.25">
      <c r="A252" s="71"/>
      <c r="B252" s="70"/>
      <c r="C252" s="70"/>
      <c r="D252" s="70"/>
      <c r="E252" s="261"/>
      <c r="H252" s="70"/>
    </row>
    <row r="253" spans="1:8" s="230" customFormat="1" x14ac:dyDescent="0.25">
      <c r="A253" s="71"/>
      <c r="B253" s="70"/>
      <c r="C253" s="70"/>
      <c r="D253" s="70"/>
      <c r="E253" s="261"/>
      <c r="H253" s="70"/>
    </row>
    <row r="254" spans="1:8" s="230" customFormat="1" x14ac:dyDescent="0.25">
      <c r="A254" s="71"/>
      <c r="B254" s="70"/>
      <c r="C254" s="70"/>
      <c r="D254" s="70"/>
      <c r="E254" s="261"/>
      <c r="H254" s="70"/>
    </row>
    <row r="255" spans="1:8" s="230" customFormat="1" x14ac:dyDescent="0.25">
      <c r="A255" s="71"/>
      <c r="B255" s="70"/>
      <c r="C255" s="70"/>
      <c r="D255" s="70"/>
      <c r="E255" s="261"/>
      <c r="H255" s="70"/>
    </row>
    <row r="256" spans="1:8" s="230" customFormat="1" x14ac:dyDescent="0.25">
      <c r="A256" s="71"/>
      <c r="B256" s="70"/>
      <c r="C256" s="70"/>
      <c r="D256" s="70"/>
      <c r="E256" s="261"/>
      <c r="H256" s="70"/>
    </row>
    <row r="257" spans="1:8" s="230" customFormat="1" x14ac:dyDescent="0.25">
      <c r="A257" s="71"/>
      <c r="B257" s="70"/>
      <c r="C257" s="70"/>
      <c r="D257" s="70"/>
      <c r="E257" s="261"/>
      <c r="H257" s="70"/>
    </row>
    <row r="258" spans="1:8" s="230" customFormat="1" x14ac:dyDescent="0.25">
      <c r="A258" s="71"/>
      <c r="B258" s="70"/>
      <c r="C258" s="70"/>
      <c r="D258" s="70"/>
      <c r="E258" s="261"/>
      <c r="H258" s="70"/>
    </row>
    <row r="259" spans="1:8" s="230" customFormat="1" x14ac:dyDescent="0.25">
      <c r="A259" s="71"/>
      <c r="B259" s="70"/>
      <c r="C259" s="70"/>
      <c r="D259" s="70"/>
      <c r="E259" s="261"/>
      <c r="H259" s="70"/>
    </row>
    <row r="260" spans="1:8" s="230" customFormat="1" x14ac:dyDescent="0.25">
      <c r="A260" s="71"/>
      <c r="B260" s="70"/>
      <c r="C260" s="70"/>
      <c r="D260" s="70"/>
      <c r="E260" s="261"/>
      <c r="H260" s="70"/>
    </row>
    <row r="261" spans="1:8" s="230" customFormat="1" x14ac:dyDescent="0.25">
      <c r="A261" s="71"/>
      <c r="B261" s="70"/>
      <c r="C261" s="70"/>
      <c r="D261" s="70"/>
      <c r="E261" s="261"/>
      <c r="H261" s="70"/>
    </row>
    <row r="262" spans="1:8" s="230" customFormat="1" x14ac:dyDescent="0.25">
      <c r="A262" s="71"/>
      <c r="B262" s="70"/>
      <c r="C262" s="70"/>
      <c r="D262" s="70"/>
      <c r="E262" s="261"/>
      <c r="H262" s="70"/>
    </row>
    <row r="263" spans="1:8" s="230" customFormat="1" x14ac:dyDescent="0.25">
      <c r="A263" s="71"/>
      <c r="B263" s="70"/>
      <c r="C263" s="70"/>
      <c r="D263" s="70"/>
      <c r="E263" s="261"/>
      <c r="H263" s="70"/>
    </row>
    <row r="264" spans="1:8" s="230" customFormat="1" x14ac:dyDescent="0.25">
      <c r="A264" s="71"/>
      <c r="B264" s="70"/>
      <c r="C264" s="70"/>
      <c r="D264" s="70"/>
      <c r="E264" s="261"/>
      <c r="H264" s="70"/>
    </row>
    <row r="265" spans="1:8" s="230" customFormat="1" x14ac:dyDescent="0.25">
      <c r="A265" s="71"/>
      <c r="B265" s="70"/>
      <c r="C265" s="70"/>
      <c r="D265" s="70"/>
      <c r="E265" s="261"/>
      <c r="H265" s="70"/>
    </row>
    <row r="266" spans="1:8" s="230" customFormat="1" x14ac:dyDescent="0.25">
      <c r="A266" s="71"/>
      <c r="B266" s="70"/>
      <c r="C266" s="70"/>
      <c r="D266" s="70"/>
      <c r="E266" s="261"/>
      <c r="H266" s="70"/>
    </row>
    <row r="267" spans="1:8" s="230" customFormat="1" x14ac:dyDescent="0.25">
      <c r="A267" s="71"/>
      <c r="B267" s="70"/>
      <c r="C267" s="70"/>
      <c r="D267" s="70"/>
      <c r="E267" s="261"/>
      <c r="H267" s="70"/>
    </row>
    <row r="268" spans="1:8" s="230" customFormat="1" x14ac:dyDescent="0.25">
      <c r="A268" s="71"/>
      <c r="B268" s="70"/>
      <c r="C268" s="70"/>
      <c r="D268" s="70"/>
      <c r="E268" s="261"/>
      <c r="H268" s="70"/>
    </row>
    <row r="269" spans="1:8" s="230" customFormat="1" x14ac:dyDescent="0.25">
      <c r="A269" s="71"/>
      <c r="B269" s="70"/>
      <c r="C269" s="70"/>
      <c r="D269" s="70"/>
      <c r="E269" s="261"/>
      <c r="H269" s="70"/>
    </row>
    <row r="270" spans="1:8" s="230" customFormat="1" x14ac:dyDescent="0.25">
      <c r="A270" s="71"/>
      <c r="B270" s="70"/>
      <c r="C270" s="70"/>
      <c r="D270" s="70"/>
      <c r="E270" s="261"/>
      <c r="H270" s="70"/>
    </row>
    <row r="271" spans="1:8" s="230" customFormat="1" x14ac:dyDescent="0.25">
      <c r="A271" s="71"/>
      <c r="B271" s="70"/>
      <c r="C271" s="70"/>
      <c r="D271" s="70"/>
      <c r="E271" s="261"/>
      <c r="H271" s="70"/>
    </row>
    <row r="272" spans="1:8" s="230" customFormat="1" x14ac:dyDescent="0.25">
      <c r="A272" s="71"/>
      <c r="B272" s="70"/>
      <c r="C272" s="70"/>
      <c r="D272" s="70"/>
      <c r="E272" s="261"/>
      <c r="H272" s="70"/>
    </row>
    <row r="273" spans="1:8" s="230" customFormat="1" x14ac:dyDescent="0.25">
      <c r="A273" s="71"/>
      <c r="B273" s="70"/>
      <c r="C273" s="70"/>
      <c r="D273" s="70"/>
      <c r="E273" s="261"/>
      <c r="H273" s="70"/>
    </row>
    <row r="274" spans="1:8" s="230" customFormat="1" x14ac:dyDescent="0.25">
      <c r="A274" s="71"/>
      <c r="B274" s="70"/>
      <c r="C274" s="70"/>
      <c r="D274" s="70"/>
      <c r="E274" s="261"/>
      <c r="H274" s="70"/>
    </row>
    <row r="275" spans="1:8" s="230" customFormat="1" x14ac:dyDescent="0.25">
      <c r="A275" s="71"/>
      <c r="B275" s="70"/>
      <c r="C275" s="70"/>
      <c r="D275" s="70"/>
      <c r="E275" s="261"/>
      <c r="H275" s="70"/>
    </row>
    <row r="276" spans="1:8" s="230" customFormat="1" x14ac:dyDescent="0.25">
      <c r="A276" s="71"/>
      <c r="B276" s="70"/>
      <c r="C276" s="70"/>
      <c r="D276" s="70"/>
      <c r="E276" s="261"/>
      <c r="H276" s="70"/>
    </row>
    <row r="277" spans="1:8" s="230" customFormat="1" x14ac:dyDescent="0.25">
      <c r="A277" s="71"/>
      <c r="B277" s="70"/>
      <c r="C277" s="70"/>
      <c r="D277" s="70"/>
      <c r="E277" s="261"/>
      <c r="H277" s="70"/>
    </row>
    <row r="278" spans="1:8" s="230" customFormat="1" x14ac:dyDescent="0.25">
      <c r="A278" s="71"/>
      <c r="B278" s="70"/>
      <c r="C278" s="70"/>
      <c r="D278" s="70"/>
      <c r="E278" s="261"/>
      <c r="H278" s="70"/>
    </row>
    <row r="279" spans="1:8" s="230" customFormat="1" x14ac:dyDescent="0.25">
      <c r="A279" s="71"/>
      <c r="B279" s="70"/>
      <c r="C279" s="70"/>
      <c r="D279" s="70"/>
      <c r="E279" s="261"/>
      <c r="H279" s="70"/>
    </row>
    <row r="280" spans="1:8" s="230" customFormat="1" x14ac:dyDescent="0.25">
      <c r="A280" s="71"/>
      <c r="B280" s="70"/>
      <c r="C280" s="70"/>
      <c r="D280" s="70"/>
      <c r="E280" s="261"/>
      <c r="H280" s="70"/>
    </row>
    <row r="281" spans="1:8" s="230" customFormat="1" x14ac:dyDescent="0.25">
      <c r="A281" s="71"/>
      <c r="B281" s="70"/>
      <c r="C281" s="70"/>
      <c r="D281" s="70"/>
      <c r="E281" s="261"/>
      <c r="H281" s="70"/>
    </row>
    <row r="282" spans="1:8" s="230" customFormat="1" x14ac:dyDescent="0.25">
      <c r="A282" s="71"/>
      <c r="B282" s="70"/>
      <c r="C282" s="70"/>
      <c r="D282" s="70"/>
      <c r="E282" s="261"/>
      <c r="H282" s="70"/>
    </row>
    <row r="283" spans="1:8" s="230" customFormat="1" x14ac:dyDescent="0.25">
      <c r="A283" s="71"/>
      <c r="B283" s="70"/>
      <c r="C283" s="70"/>
      <c r="D283" s="70"/>
      <c r="E283" s="261"/>
      <c r="H283" s="70"/>
    </row>
    <row r="284" spans="1:8" s="230" customFormat="1" x14ac:dyDescent="0.25">
      <c r="A284" s="71"/>
      <c r="B284" s="70"/>
      <c r="C284" s="70"/>
      <c r="D284" s="70"/>
      <c r="E284" s="261"/>
      <c r="H284" s="70"/>
    </row>
    <row r="285" spans="1:8" s="230" customFormat="1" x14ac:dyDescent="0.25">
      <c r="A285" s="71"/>
      <c r="B285" s="70"/>
      <c r="C285" s="70"/>
      <c r="D285" s="70"/>
      <c r="E285" s="261"/>
      <c r="H285" s="70"/>
    </row>
    <row r="286" spans="1:8" s="230" customFormat="1" x14ac:dyDescent="0.25">
      <c r="A286" s="71"/>
      <c r="B286" s="70"/>
      <c r="C286" s="70"/>
      <c r="D286" s="70"/>
      <c r="E286" s="261"/>
      <c r="H286" s="70"/>
    </row>
    <row r="287" spans="1:8" s="230" customFormat="1" x14ac:dyDescent="0.25">
      <c r="A287" s="71"/>
      <c r="B287" s="70"/>
      <c r="C287" s="70"/>
      <c r="D287" s="70"/>
      <c r="E287" s="261"/>
      <c r="H287" s="70"/>
    </row>
    <row r="288" spans="1:8" s="230" customFormat="1" x14ac:dyDescent="0.25">
      <c r="A288" s="71"/>
      <c r="B288" s="70"/>
      <c r="C288" s="70"/>
      <c r="D288" s="70"/>
      <c r="E288" s="261"/>
      <c r="H288" s="70"/>
    </row>
    <row r="289" spans="1:8" s="230" customFormat="1" x14ac:dyDescent="0.25">
      <c r="A289" s="71"/>
      <c r="B289" s="70"/>
      <c r="C289" s="70"/>
      <c r="D289" s="70"/>
      <c r="E289" s="261"/>
      <c r="H289" s="70"/>
    </row>
    <row r="290" spans="1:8" s="230" customFormat="1" x14ac:dyDescent="0.25">
      <c r="A290" s="71"/>
      <c r="B290" s="70"/>
      <c r="C290" s="70"/>
      <c r="D290" s="70"/>
      <c r="E290" s="261"/>
      <c r="H290" s="70"/>
    </row>
    <row r="291" spans="1:8" s="230" customFormat="1" x14ac:dyDescent="0.25">
      <c r="A291" s="71"/>
      <c r="B291" s="70"/>
      <c r="C291" s="70"/>
      <c r="D291" s="70"/>
      <c r="E291" s="261"/>
      <c r="H291" s="70"/>
    </row>
    <row r="292" spans="1:8" s="230" customFormat="1" x14ac:dyDescent="0.25">
      <c r="A292" s="71"/>
      <c r="B292" s="70"/>
      <c r="C292" s="70"/>
      <c r="D292" s="70"/>
      <c r="E292" s="261"/>
      <c r="H292" s="70"/>
    </row>
    <row r="293" spans="1:8" s="230" customFormat="1" x14ac:dyDescent="0.25">
      <c r="A293" s="71"/>
      <c r="B293" s="70"/>
      <c r="C293" s="70"/>
      <c r="D293" s="70"/>
      <c r="E293" s="261"/>
      <c r="H293" s="70"/>
    </row>
    <row r="294" spans="1:8" s="230" customFormat="1" x14ac:dyDescent="0.25">
      <c r="A294" s="71"/>
      <c r="B294" s="70"/>
      <c r="C294" s="70"/>
      <c r="D294" s="70"/>
      <c r="E294" s="261"/>
      <c r="H294" s="70"/>
    </row>
    <row r="295" spans="1:8" s="230" customFormat="1" x14ac:dyDescent="0.25">
      <c r="A295" s="71"/>
      <c r="B295" s="70"/>
      <c r="C295" s="70"/>
      <c r="D295" s="70"/>
      <c r="E295" s="261"/>
      <c r="H295" s="70"/>
    </row>
    <row r="296" spans="1:8" s="230" customFormat="1" x14ac:dyDescent="0.25">
      <c r="A296" s="71"/>
      <c r="B296" s="70"/>
      <c r="C296" s="70"/>
      <c r="D296" s="70"/>
      <c r="E296" s="261"/>
      <c r="H296" s="70"/>
    </row>
    <row r="297" spans="1:8" s="230" customFormat="1" x14ac:dyDescent="0.25">
      <c r="A297" s="71"/>
      <c r="B297" s="70"/>
      <c r="C297" s="70"/>
      <c r="D297" s="70"/>
      <c r="E297" s="261"/>
      <c r="H297" s="70"/>
    </row>
    <row r="298" spans="1:8" s="230" customFormat="1" x14ac:dyDescent="0.25">
      <c r="A298" s="71"/>
      <c r="B298" s="70"/>
      <c r="C298" s="70"/>
      <c r="D298" s="70"/>
      <c r="E298" s="261"/>
      <c r="H298" s="70"/>
    </row>
    <row r="299" spans="1:8" s="230" customFormat="1" x14ac:dyDescent="0.25">
      <c r="A299" s="71"/>
      <c r="B299" s="70"/>
      <c r="C299" s="70"/>
      <c r="D299" s="70"/>
      <c r="E299" s="261"/>
      <c r="H299" s="70"/>
    </row>
    <row r="300" spans="1:8" s="230" customFormat="1" x14ac:dyDescent="0.25">
      <c r="A300" s="71"/>
      <c r="B300" s="70"/>
      <c r="C300" s="70"/>
      <c r="D300" s="70"/>
      <c r="E300" s="261"/>
      <c r="H300" s="70"/>
    </row>
    <row r="301" spans="1:8" s="230" customFormat="1" x14ac:dyDescent="0.25">
      <c r="A301" s="71"/>
      <c r="B301" s="70"/>
      <c r="C301" s="70"/>
      <c r="D301" s="70"/>
      <c r="E301" s="261"/>
      <c r="H301" s="70"/>
    </row>
    <row r="302" spans="1:8" s="230" customFormat="1" x14ac:dyDescent="0.25">
      <c r="A302" s="71"/>
      <c r="B302" s="70"/>
      <c r="C302" s="70"/>
      <c r="D302" s="70"/>
      <c r="E302" s="261"/>
      <c r="H302" s="70"/>
    </row>
    <row r="303" spans="1:8" s="230" customFormat="1" x14ac:dyDescent="0.25">
      <c r="A303" s="71"/>
      <c r="B303" s="70"/>
      <c r="C303" s="70"/>
      <c r="D303" s="70"/>
      <c r="E303" s="261"/>
      <c r="H303" s="70"/>
    </row>
    <row r="304" spans="1:8" s="230" customFormat="1" x14ac:dyDescent="0.25">
      <c r="A304" s="71"/>
      <c r="B304" s="70"/>
      <c r="C304" s="70"/>
      <c r="D304" s="70"/>
      <c r="E304" s="261"/>
      <c r="H304" s="70"/>
    </row>
    <row r="305" spans="1:8" s="230" customFormat="1" x14ac:dyDescent="0.25">
      <c r="A305" s="71"/>
      <c r="B305" s="70"/>
      <c r="C305" s="70"/>
      <c r="D305" s="70"/>
      <c r="E305" s="261"/>
      <c r="H305" s="70"/>
    </row>
    <row r="306" spans="1:8" s="230" customFormat="1" x14ac:dyDescent="0.25">
      <c r="A306" s="71"/>
      <c r="B306" s="70"/>
      <c r="C306" s="70"/>
      <c r="D306" s="70"/>
      <c r="E306" s="261"/>
      <c r="H306" s="70"/>
    </row>
    <row r="307" spans="1:8" s="230" customFormat="1" x14ac:dyDescent="0.25">
      <c r="A307" s="71"/>
      <c r="B307" s="70"/>
      <c r="C307" s="70"/>
      <c r="D307" s="70"/>
      <c r="E307" s="261"/>
      <c r="H307" s="70"/>
    </row>
    <row r="308" spans="1:8" s="230" customFormat="1" x14ac:dyDescent="0.25">
      <c r="A308" s="71"/>
      <c r="B308" s="70"/>
      <c r="C308" s="70"/>
      <c r="D308" s="70"/>
      <c r="E308" s="261"/>
      <c r="H308" s="70"/>
    </row>
    <row r="309" spans="1:8" s="230" customFormat="1" x14ac:dyDescent="0.25">
      <c r="A309" s="71"/>
      <c r="B309" s="70"/>
      <c r="C309" s="70"/>
      <c r="D309" s="70"/>
      <c r="E309" s="261"/>
      <c r="H309" s="70"/>
    </row>
    <row r="310" spans="1:8" s="230" customFormat="1" x14ac:dyDescent="0.25">
      <c r="A310" s="71"/>
      <c r="B310" s="70"/>
      <c r="C310" s="70"/>
      <c r="D310" s="70"/>
      <c r="E310" s="261"/>
      <c r="H310" s="70"/>
    </row>
    <row r="311" spans="1:8" s="230" customFormat="1" x14ac:dyDescent="0.25">
      <c r="A311" s="71"/>
      <c r="B311" s="70"/>
      <c r="C311" s="70"/>
      <c r="D311" s="70"/>
      <c r="E311" s="261"/>
      <c r="H311" s="70"/>
    </row>
    <row r="312" spans="1:8" s="230" customFormat="1" x14ac:dyDescent="0.25">
      <c r="A312" s="71"/>
      <c r="B312" s="70"/>
      <c r="C312" s="70"/>
      <c r="D312" s="70"/>
      <c r="E312" s="261"/>
      <c r="H312" s="70"/>
    </row>
    <row r="313" spans="1:8" s="230" customFormat="1" x14ac:dyDescent="0.25">
      <c r="A313" s="71"/>
      <c r="B313" s="70"/>
      <c r="C313" s="70"/>
      <c r="D313" s="70"/>
      <c r="E313" s="261"/>
      <c r="H313" s="70"/>
    </row>
    <row r="314" spans="1:8" s="230" customFormat="1" x14ac:dyDescent="0.25">
      <c r="A314" s="71"/>
      <c r="B314" s="70"/>
      <c r="C314" s="70"/>
      <c r="D314" s="70"/>
      <c r="E314" s="261"/>
      <c r="H314" s="70"/>
    </row>
    <row r="315" spans="1:8" s="230" customFormat="1" x14ac:dyDescent="0.25">
      <c r="A315" s="71"/>
      <c r="B315" s="70"/>
      <c r="C315" s="70"/>
      <c r="D315" s="70"/>
      <c r="E315" s="261"/>
      <c r="H315" s="70"/>
    </row>
    <row r="316" spans="1:8" s="230" customFormat="1" x14ac:dyDescent="0.25">
      <c r="A316" s="71"/>
      <c r="B316" s="70"/>
      <c r="C316" s="70"/>
      <c r="D316" s="70"/>
      <c r="E316" s="261"/>
      <c r="H316" s="70"/>
    </row>
  </sheetData>
  <mergeCells count="12">
    <mergeCell ref="H11:H15"/>
    <mergeCell ref="I11:I15"/>
    <mergeCell ref="H89:H95"/>
    <mergeCell ref="I89:I95"/>
    <mergeCell ref="B2:F2"/>
    <mergeCell ref="B11:F11"/>
    <mergeCell ref="B89:F89"/>
    <mergeCell ref="B144:F144"/>
    <mergeCell ref="E4:F4"/>
    <mergeCell ref="E3:F3"/>
    <mergeCell ref="C4:D4"/>
    <mergeCell ref="C3:D3"/>
  </mergeCells>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10">
    <tabColor rgb="FF4B9FD7"/>
  </sheetPr>
  <dimension ref="A1:AT367"/>
  <sheetViews>
    <sheetView showGridLines="0" zoomScale="102" zoomScaleNormal="102" workbookViewId="0">
      <pane ySplit="2" topLeftCell="A3" activePane="bottomLeft" state="frozen"/>
      <selection activeCell="J1" sqref="J1"/>
      <selection pane="bottomLeft" activeCell="D30" sqref="D30"/>
    </sheetView>
  </sheetViews>
  <sheetFormatPr defaultColWidth="9.140625" defaultRowHeight="15" outlineLevelRow="1" x14ac:dyDescent="0.25"/>
  <cols>
    <col min="1" max="1" width="5.7109375" style="85" customWidth="1"/>
    <col min="2" max="2" width="35.7109375" style="85" customWidth="1"/>
    <col min="3" max="3" width="20.7109375" style="85" customWidth="1"/>
    <col min="4" max="4" width="15.7109375" style="88" customWidth="1"/>
    <col min="5" max="5" width="16.7109375" style="85" customWidth="1"/>
    <col min="6" max="7" width="20.7109375" style="85" customWidth="1"/>
    <col min="8" max="8" width="9.7109375" style="85" customWidth="1"/>
    <col min="9" max="10" width="8.7109375" style="85" customWidth="1"/>
    <col min="11" max="11" width="35.7109375" style="85" hidden="1" customWidth="1"/>
    <col min="12" max="12" width="20.7109375" style="85" hidden="1" customWidth="1"/>
    <col min="13" max="13" width="15.7109375" style="85" hidden="1" customWidth="1"/>
    <col min="14" max="14" width="16.7109375" style="85" hidden="1" customWidth="1"/>
    <col min="15" max="15" width="20.7109375" style="85" hidden="1" customWidth="1"/>
    <col min="16" max="16" width="8.7109375" style="85" hidden="1" customWidth="1"/>
    <col min="17" max="17" width="9.7109375" style="85" hidden="1" customWidth="1"/>
    <col min="18" max="19" width="8.7109375" style="85" hidden="1" customWidth="1"/>
    <col min="20" max="20" width="35.7109375" style="85" hidden="1" customWidth="1"/>
    <col min="21" max="21" width="20.7109375" style="85" hidden="1" customWidth="1"/>
    <col min="22" max="22" width="15.7109375" style="85" hidden="1" customWidth="1"/>
    <col min="23" max="23" width="16.7109375" style="85" hidden="1" customWidth="1"/>
    <col min="24" max="24" width="20.7109375" style="85" hidden="1" customWidth="1"/>
    <col min="25" max="25" width="8.7109375" style="85" hidden="1" customWidth="1"/>
    <col min="26" max="26" width="9.7109375" style="85" hidden="1" customWidth="1"/>
    <col min="27" max="27" width="8.7109375" style="85" hidden="1" customWidth="1"/>
    <col min="28" max="29" width="8.7109375" style="85" customWidth="1"/>
    <col min="30" max="30" width="8.7109375" style="85" hidden="1" customWidth="1"/>
    <col min="31" max="31" width="35.7109375" style="85" hidden="1" customWidth="1"/>
    <col min="32" max="32" width="20.7109375" style="85" hidden="1" customWidth="1"/>
    <col min="33" max="33" width="15.7109375" style="85" hidden="1" customWidth="1"/>
    <col min="34" max="34" width="16.7109375" style="85" hidden="1" customWidth="1"/>
    <col min="35" max="35" width="20.7109375" style="85" hidden="1" customWidth="1"/>
    <col min="36" max="36" width="8.7109375" style="85" hidden="1" customWidth="1"/>
    <col min="37" max="37" width="9.7109375" style="85" hidden="1" customWidth="1"/>
    <col min="38" max="39" width="0" style="85" hidden="1" customWidth="1"/>
    <col min="40" max="40" width="35.7109375" style="85" hidden="1" customWidth="1"/>
    <col min="41" max="41" width="20.7109375" style="85" hidden="1" customWidth="1"/>
    <col min="42" max="42" width="15.7109375" style="85" hidden="1" customWidth="1"/>
    <col min="43" max="43" width="16.7109375" style="85" hidden="1" customWidth="1"/>
    <col min="44" max="44" width="20.7109375" style="85" hidden="1" customWidth="1"/>
    <col min="45" max="45" width="8.7109375" style="85" hidden="1" customWidth="1"/>
    <col min="46" max="46" width="9.7109375" style="85" hidden="1" customWidth="1"/>
    <col min="47" max="16384" width="9.140625" style="85"/>
  </cols>
  <sheetData>
    <row r="1" spans="1:20" ht="90" customHeight="1" x14ac:dyDescent="0.25">
      <c r="A1" s="108"/>
      <c r="B1" s="120"/>
      <c r="C1" s="120"/>
      <c r="D1" s="120"/>
      <c r="E1" s="120"/>
      <c r="F1" s="120"/>
      <c r="G1" s="120"/>
      <c r="H1" s="120"/>
      <c r="I1" s="120"/>
      <c r="J1" s="120"/>
      <c r="K1" s="120"/>
      <c r="L1" s="120"/>
      <c r="M1" s="120"/>
      <c r="N1" s="120"/>
      <c r="O1" s="120"/>
      <c r="P1" s="120"/>
      <c r="Q1" s="120"/>
      <c r="R1" s="120"/>
      <c r="S1" s="120"/>
      <c r="T1" s="120"/>
    </row>
    <row r="2" spans="1:20" s="52" customFormat="1" ht="25.15" customHeight="1" x14ac:dyDescent="0.25">
      <c r="B2" s="52" t="s">
        <v>953</v>
      </c>
    </row>
    <row r="3" spans="1:20" s="108" customFormat="1" x14ac:dyDescent="0.25">
      <c r="C3" s="103"/>
    </row>
    <row r="4" spans="1:20" ht="15.75" x14ac:dyDescent="0.25">
      <c r="B4" s="181" t="s">
        <v>238</v>
      </c>
      <c r="C4" s="726" t="s">
        <v>538</v>
      </c>
      <c r="D4" s="727"/>
      <c r="E4" s="727"/>
      <c r="F4" s="727"/>
      <c r="G4" s="727"/>
      <c r="H4" s="728"/>
      <c r="I4" s="108"/>
      <c r="J4" s="108"/>
      <c r="R4" s="108"/>
      <c r="S4" s="108"/>
    </row>
    <row r="5" spans="1:20" ht="6" customHeight="1" x14ac:dyDescent="0.25">
      <c r="B5" s="182"/>
      <c r="C5" s="114"/>
      <c r="D5" s="114"/>
      <c r="E5" s="114"/>
      <c r="F5" s="114"/>
      <c r="G5" s="114"/>
      <c r="H5" s="114"/>
      <c r="I5" s="108"/>
      <c r="J5" s="108"/>
      <c r="R5" s="108"/>
      <c r="S5" s="108"/>
    </row>
    <row r="6" spans="1:20" ht="15.75" x14ac:dyDescent="0.25">
      <c r="B6" s="181" t="s">
        <v>342</v>
      </c>
      <c r="C6" s="726" t="s">
        <v>343</v>
      </c>
      <c r="D6" s="727"/>
      <c r="E6" s="727"/>
      <c r="F6" s="727"/>
      <c r="G6" s="727"/>
      <c r="H6" s="728"/>
      <c r="I6" s="108"/>
      <c r="J6" s="108"/>
      <c r="R6" s="108"/>
      <c r="S6" s="108"/>
    </row>
    <row r="7" spans="1:20" ht="6" customHeight="1" x14ac:dyDescent="0.25">
      <c r="B7" s="181"/>
      <c r="C7" s="114"/>
      <c r="D7" s="114"/>
      <c r="E7" s="114"/>
      <c r="F7" s="114"/>
      <c r="G7" s="114"/>
      <c r="H7" s="114"/>
      <c r="I7" s="108"/>
      <c r="J7" s="108"/>
      <c r="R7" s="108"/>
      <c r="S7" s="108"/>
    </row>
    <row r="8" spans="1:20" ht="15.75" x14ac:dyDescent="0.25">
      <c r="B8" s="181" t="s">
        <v>239</v>
      </c>
      <c r="C8" s="726"/>
      <c r="D8" s="727"/>
      <c r="E8" s="727"/>
      <c r="F8" s="727"/>
      <c r="G8" s="727"/>
      <c r="H8" s="728"/>
      <c r="I8" s="108"/>
      <c r="J8" s="108"/>
      <c r="R8" s="108"/>
      <c r="S8" s="108"/>
    </row>
    <row r="9" spans="1:20" ht="6" customHeight="1" x14ac:dyDescent="0.25">
      <c r="B9" s="182"/>
      <c r="C9" s="114"/>
      <c r="D9" s="114"/>
      <c r="E9" s="115"/>
      <c r="F9" s="115"/>
      <c r="G9" s="115"/>
      <c r="H9" s="115"/>
      <c r="I9" s="108"/>
      <c r="J9" s="108"/>
      <c r="R9" s="108"/>
      <c r="S9" s="108"/>
    </row>
    <row r="10" spans="1:20" ht="15.75" x14ac:dyDescent="0.25">
      <c r="B10" s="181" t="s">
        <v>240</v>
      </c>
      <c r="C10" s="726" t="s">
        <v>344</v>
      </c>
      <c r="D10" s="728"/>
      <c r="E10" s="116"/>
      <c r="F10" s="108"/>
      <c r="G10" s="108"/>
      <c r="H10" s="108"/>
      <c r="I10" s="108"/>
      <c r="J10" s="108"/>
      <c r="R10" s="108"/>
      <c r="S10" s="108"/>
    </row>
    <row r="11" spans="1:20" s="108" customFormat="1" ht="15.75" x14ac:dyDescent="0.25">
      <c r="C11" s="112"/>
      <c r="L11" s="113"/>
    </row>
    <row r="12" spans="1:20" ht="6" customHeight="1" x14ac:dyDescent="0.25">
      <c r="B12" s="151"/>
      <c r="C12" s="99"/>
      <c r="D12" s="99"/>
      <c r="E12" s="99"/>
      <c r="F12" s="99"/>
      <c r="G12" s="84"/>
      <c r="H12" s="84"/>
      <c r="I12" s="108"/>
      <c r="Q12" s="108"/>
      <c r="R12" s="108"/>
    </row>
    <row r="13" spans="1:20" ht="17.25" x14ac:dyDescent="0.25">
      <c r="B13" s="43"/>
      <c r="C13" s="729" t="s">
        <v>125</v>
      </c>
      <c r="D13" s="729"/>
      <c r="E13" s="84"/>
      <c r="F13" s="84"/>
      <c r="G13" s="84"/>
      <c r="H13" s="84"/>
      <c r="I13" s="150"/>
      <c r="Q13" s="108"/>
      <c r="R13" s="150"/>
    </row>
    <row r="14" spans="1:20" ht="6" customHeight="1" x14ac:dyDescent="0.25">
      <c r="B14" s="43"/>
      <c r="C14" s="82"/>
      <c r="D14" s="82"/>
      <c r="E14" s="84"/>
      <c r="F14" s="33"/>
      <c r="G14" s="84"/>
      <c r="H14" s="84"/>
      <c r="I14" s="150"/>
      <c r="Q14" s="108"/>
      <c r="R14" s="150"/>
    </row>
    <row r="15" spans="1:20" ht="31.5" customHeight="1" x14ac:dyDescent="0.25">
      <c r="B15" s="648" t="s">
        <v>829</v>
      </c>
      <c r="C15" s="155">
        <f>SUM(C17:C20)</f>
        <v>0.43899999999999995</v>
      </c>
      <c r="D15" s="736" t="s">
        <v>828</v>
      </c>
      <c r="E15" s="736"/>
      <c r="F15" s="736"/>
      <c r="G15" s="155">
        <f>G18-C15</f>
        <v>86.961000000000013</v>
      </c>
      <c r="H15" s="84"/>
      <c r="I15" s="150"/>
      <c r="Q15" s="108"/>
      <c r="R15" s="150"/>
    </row>
    <row r="16" spans="1:20" ht="6" customHeight="1" x14ac:dyDescent="0.25">
      <c r="B16" s="152"/>
      <c r="C16" s="82"/>
      <c r="D16" s="83"/>
      <c r="E16" s="84"/>
      <c r="F16" s="40"/>
      <c r="G16" s="84"/>
      <c r="H16" s="84"/>
      <c r="I16" s="108"/>
      <c r="Q16" s="108"/>
      <c r="R16" s="108"/>
    </row>
    <row r="17" spans="2:46" ht="15.75" x14ac:dyDescent="0.25">
      <c r="B17" s="385" t="s">
        <v>159</v>
      </c>
      <c r="C17" s="142">
        <f>IFERROR(IF(C13="Etanol Anidro",_E1G2G!C5,IF(C13="Etanol Hidratado",_E1G2G!E5,"")),0)</f>
        <v>0</v>
      </c>
      <c r="D17" s="83"/>
      <c r="E17" s="84"/>
      <c r="F17" s="153"/>
      <c r="G17" s="153" t="s">
        <v>865</v>
      </c>
      <c r="H17" s="84"/>
      <c r="I17" s="108"/>
      <c r="Q17" s="108"/>
      <c r="R17" s="108"/>
    </row>
    <row r="18" spans="2:46" ht="17.25" x14ac:dyDescent="0.25">
      <c r="B18" s="385" t="s">
        <v>160</v>
      </c>
      <c r="C18" s="142">
        <f>IFERROR(IF(C13="Etanol Anidro",_E1G2G!C6,IF(C13="Etanol Hidratado",_E1G2G!E6,"")),0)</f>
        <v>0</v>
      </c>
      <c r="D18" s="83"/>
      <c r="E18" s="84"/>
      <c r="F18" s="153"/>
      <c r="G18" s="580">
        <f>'Dados auxiliares'!F166</f>
        <v>87.4</v>
      </c>
      <c r="H18" s="84"/>
      <c r="I18" s="108"/>
      <c r="Q18" s="108"/>
      <c r="R18" s="108"/>
    </row>
    <row r="19" spans="2:46" ht="15.75" x14ac:dyDescent="0.25">
      <c r="B19" s="385" t="s">
        <v>161</v>
      </c>
      <c r="C19" s="142">
        <f>IFERROR(IF(C13="Etanol Anidro",_E1G2G!C7,IF(C13="Etanol Hidratado",_E1G2G!E7,"")),0)</f>
        <v>0</v>
      </c>
      <c r="D19" s="83"/>
      <c r="E19" s="84"/>
      <c r="F19" s="153"/>
      <c r="G19" s="153" t="s">
        <v>539</v>
      </c>
      <c r="H19" s="84"/>
      <c r="I19" s="108"/>
      <c r="Q19" s="108"/>
      <c r="R19" s="108"/>
    </row>
    <row r="20" spans="2:46" ht="17.25" x14ac:dyDescent="0.25">
      <c r="B20" s="385" t="s">
        <v>189</v>
      </c>
      <c r="C20" s="142">
        <f>IFERROR(IF(C13="Etanol Anidro",_E1G2G!C8,IF(C13="Etanol Hidratado",_E1G2G!E8,"")),0)</f>
        <v>0.43899999999999995</v>
      </c>
      <c r="D20" s="122"/>
      <c r="E20" s="123"/>
      <c r="F20" s="153"/>
      <c r="G20" s="154">
        <f>(G18-C15)/G18</f>
        <v>0.9949771167048056</v>
      </c>
      <c r="H20" s="123"/>
      <c r="I20" s="108"/>
      <c r="Q20" s="108"/>
      <c r="R20" s="108"/>
    </row>
    <row r="21" spans="2:46" ht="6" customHeight="1" x14ac:dyDescent="0.25">
      <c r="B21" s="385"/>
      <c r="C21" s="121"/>
      <c r="D21" s="122"/>
      <c r="E21" s="123"/>
      <c r="F21" s="123"/>
      <c r="G21" s="123"/>
      <c r="H21" s="123"/>
      <c r="I21" s="108"/>
      <c r="R21" s="108"/>
    </row>
    <row r="22" spans="2:46" x14ac:dyDescent="0.25">
      <c r="C22" s="88"/>
      <c r="D22" s="85"/>
    </row>
    <row r="23" spans="2:46" ht="18.75" x14ac:dyDescent="0.25">
      <c r="B23" s="732" t="s">
        <v>974</v>
      </c>
      <c r="C23" s="732"/>
      <c r="D23" s="732"/>
      <c r="E23" s="732"/>
      <c r="F23" s="732"/>
      <c r="G23" s="732"/>
      <c r="H23" s="732"/>
      <c r="I23" s="107"/>
      <c r="J23" s="107"/>
      <c r="K23" s="732" t="s">
        <v>137</v>
      </c>
      <c r="L23" s="732"/>
      <c r="M23" s="732"/>
      <c r="N23" s="732"/>
      <c r="O23" s="732"/>
      <c r="P23" s="732"/>
      <c r="Q23" s="732"/>
      <c r="R23" s="107"/>
      <c r="S23" s="107"/>
      <c r="T23" s="732" t="s">
        <v>168</v>
      </c>
      <c r="U23" s="732"/>
      <c r="V23" s="732"/>
      <c r="W23" s="732"/>
      <c r="X23" s="732"/>
      <c r="Y23" s="732"/>
      <c r="Z23" s="732"/>
      <c r="AE23" s="734" t="s">
        <v>293</v>
      </c>
      <c r="AF23" s="734"/>
      <c r="AG23" s="734"/>
      <c r="AH23" s="734"/>
      <c r="AI23" s="734"/>
      <c r="AJ23" s="734"/>
      <c r="AK23" s="734"/>
      <c r="AN23" s="724" t="s">
        <v>774</v>
      </c>
      <c r="AO23" s="724"/>
      <c r="AP23" s="724"/>
      <c r="AQ23" s="724"/>
      <c r="AR23" s="724"/>
      <c r="AS23" s="724"/>
      <c r="AT23" s="724"/>
    </row>
    <row r="24" spans="2:46" ht="15.75" x14ac:dyDescent="0.25">
      <c r="B24" s="725" t="s">
        <v>276</v>
      </c>
      <c r="C24" s="725"/>
      <c r="D24" s="725"/>
      <c r="E24" s="725"/>
      <c r="F24" s="725"/>
      <c r="G24" s="725"/>
      <c r="H24" s="725"/>
      <c r="I24" s="108"/>
      <c r="J24" s="108"/>
      <c r="K24" s="725" t="s">
        <v>276</v>
      </c>
      <c r="L24" s="725"/>
      <c r="M24" s="725"/>
      <c r="N24" s="725"/>
      <c r="O24" s="725"/>
      <c r="P24" s="725"/>
      <c r="Q24" s="725"/>
      <c r="R24" s="108"/>
      <c r="S24" s="108"/>
      <c r="T24" s="725" t="s">
        <v>276</v>
      </c>
      <c r="U24" s="725"/>
      <c r="V24" s="725"/>
      <c r="W24" s="725"/>
      <c r="X24" s="725"/>
      <c r="Y24" s="725"/>
      <c r="Z24" s="725"/>
      <c r="AB24"/>
      <c r="AC24"/>
      <c r="AE24" s="725" t="s">
        <v>276</v>
      </c>
      <c r="AF24" s="725"/>
      <c r="AG24" s="725"/>
      <c r="AH24" s="725"/>
      <c r="AI24" s="725"/>
      <c r="AJ24" s="725"/>
      <c r="AK24" s="725"/>
      <c r="AN24" s="725" t="s">
        <v>276</v>
      </c>
      <c r="AO24" s="725"/>
      <c r="AP24" s="725"/>
      <c r="AQ24" s="725"/>
      <c r="AR24" s="725"/>
      <c r="AS24" s="725"/>
      <c r="AT24" s="725"/>
    </row>
    <row r="25" spans="2:46" ht="6" customHeight="1" x14ac:dyDescent="0.25">
      <c r="D25" s="103"/>
      <c r="M25" s="103"/>
      <c r="V25" s="104"/>
      <c r="AB25"/>
      <c r="AC25"/>
      <c r="AE25" s="225"/>
      <c r="AF25" s="225"/>
      <c r="AG25" s="225"/>
      <c r="AH25" s="225"/>
      <c r="AI25" s="225"/>
      <c r="AJ25" s="225"/>
      <c r="AK25" s="225"/>
      <c r="AN25" s="423"/>
      <c r="AO25" s="423"/>
      <c r="AP25" s="423"/>
      <c r="AQ25" s="423"/>
      <c r="AR25" s="423"/>
      <c r="AS25" s="423"/>
      <c r="AT25" s="423"/>
    </row>
    <row r="26" spans="2:46" ht="15" hidden="1" customHeight="1" x14ac:dyDescent="0.25">
      <c r="B26" s="24"/>
      <c r="C26" s="91" t="s">
        <v>348</v>
      </c>
      <c r="D26" s="629" t="s">
        <v>127</v>
      </c>
      <c r="E26" s="92"/>
      <c r="F26" s="27"/>
      <c r="G26" s="27"/>
      <c r="H26" s="27"/>
      <c r="K26" s="24"/>
      <c r="L26" s="91" t="s">
        <v>348</v>
      </c>
      <c r="M26" s="629" t="s">
        <v>127</v>
      </c>
      <c r="N26" s="92"/>
      <c r="O26" s="27"/>
      <c r="P26" s="27"/>
      <c r="Q26" s="27"/>
      <c r="T26" s="24"/>
      <c r="U26" s="91" t="s">
        <v>348</v>
      </c>
      <c r="V26" s="28" t="str">
        <f>D26</f>
        <v>Convencional</v>
      </c>
      <c r="W26" s="92"/>
      <c r="X26" s="27"/>
      <c r="Y26" s="27"/>
      <c r="Z26" s="27"/>
      <c r="AB26"/>
      <c r="AC26"/>
      <c r="AE26" s="527"/>
      <c r="AF26" s="527"/>
      <c r="AG26" s="527"/>
      <c r="AH26" s="527"/>
      <c r="AI26" s="527"/>
      <c r="AJ26" s="527"/>
      <c r="AK26" s="527"/>
      <c r="AN26" s="527"/>
      <c r="AO26" s="527"/>
      <c r="AP26" s="527"/>
      <c r="AQ26" s="527"/>
      <c r="AR26" s="527"/>
      <c r="AS26" s="527"/>
      <c r="AT26" s="527"/>
    </row>
    <row r="27" spans="2:46" ht="17.25" customHeight="1" x14ac:dyDescent="0.25">
      <c r="B27" s="24"/>
      <c r="C27" s="91" t="s">
        <v>355</v>
      </c>
      <c r="D27" s="644"/>
      <c r="E27" s="92" t="s">
        <v>36</v>
      </c>
      <c r="F27" s="225"/>
      <c r="G27" s="89"/>
      <c r="H27" s="225"/>
      <c r="K27" s="24"/>
      <c r="L27" s="91" t="s">
        <v>355</v>
      </c>
      <c r="M27" s="630"/>
      <c r="N27" s="92" t="s">
        <v>36</v>
      </c>
      <c r="O27" s="667"/>
      <c r="P27" s="89"/>
      <c r="Q27" s="667"/>
      <c r="T27" s="24"/>
      <c r="U27" s="91" t="s">
        <v>355</v>
      </c>
      <c r="V27" s="28">
        <f>D27</f>
        <v>0</v>
      </c>
      <c r="W27" s="92" t="s">
        <v>36</v>
      </c>
      <c r="X27" s="667"/>
      <c r="Y27" s="89"/>
      <c r="Z27" s="667"/>
      <c r="AB27"/>
      <c r="AC27"/>
      <c r="AE27" s="225"/>
      <c r="AF27" s="225"/>
      <c r="AG27" s="225"/>
      <c r="AH27" s="225"/>
      <c r="AI27" s="225"/>
      <c r="AJ27" s="225"/>
      <c r="AK27" s="225"/>
      <c r="AN27" s="423"/>
      <c r="AO27" s="423"/>
      <c r="AP27" s="423"/>
      <c r="AQ27" s="423"/>
      <c r="AR27" s="423"/>
      <c r="AS27" s="423"/>
      <c r="AT27" s="423"/>
    </row>
    <row r="28" spans="2:46" ht="6" customHeight="1" x14ac:dyDescent="0.25">
      <c r="B28" s="75"/>
      <c r="D28" s="45"/>
      <c r="E28" s="75"/>
      <c r="F28" s="226"/>
      <c r="G28" s="101"/>
      <c r="K28" s="75"/>
      <c r="M28" s="45"/>
      <c r="N28" s="75"/>
      <c r="O28" s="668"/>
      <c r="P28" s="101"/>
      <c r="T28" s="75"/>
      <c r="V28" s="45"/>
      <c r="W28" s="75"/>
      <c r="X28" s="668"/>
      <c r="Y28" s="101"/>
      <c r="AB28"/>
      <c r="AC28"/>
      <c r="AE28" s="225"/>
      <c r="AF28" s="225"/>
      <c r="AG28" s="225"/>
      <c r="AH28" s="225"/>
      <c r="AI28" s="225"/>
      <c r="AJ28" s="225"/>
      <c r="AK28" s="225"/>
      <c r="AN28" s="423"/>
      <c r="AO28" s="423"/>
      <c r="AP28" s="423"/>
      <c r="AQ28" s="423"/>
      <c r="AR28" s="423"/>
      <c r="AS28" s="423"/>
      <c r="AT28" s="423"/>
    </row>
    <row r="29" spans="2:46" x14ac:dyDescent="0.25">
      <c r="B29" s="25"/>
      <c r="C29" s="91" t="s">
        <v>350</v>
      </c>
      <c r="D29" s="644"/>
      <c r="E29" s="92" t="s">
        <v>353</v>
      </c>
      <c r="F29" s="225"/>
      <c r="G29" s="90"/>
      <c r="H29" s="89"/>
      <c r="K29" s="25"/>
      <c r="L29" s="91" t="s">
        <v>350</v>
      </c>
      <c r="M29" s="631"/>
      <c r="N29" s="92" t="s">
        <v>353</v>
      </c>
      <c r="O29" s="667"/>
      <c r="P29" s="90"/>
      <c r="Q29" s="89"/>
      <c r="T29" s="25"/>
      <c r="U29" s="91" t="s">
        <v>350</v>
      </c>
      <c r="V29" s="28">
        <f>D29</f>
        <v>0</v>
      </c>
      <c r="W29" s="92" t="s">
        <v>353</v>
      </c>
      <c r="X29" s="667"/>
      <c r="Y29" s="90"/>
      <c r="Z29" s="89"/>
      <c r="AB29"/>
      <c r="AC29"/>
      <c r="AE29" s="225"/>
      <c r="AF29" s="225"/>
      <c r="AG29" s="225"/>
      <c r="AH29" s="225"/>
      <c r="AI29" s="225"/>
      <c r="AJ29" s="225"/>
      <c r="AK29" s="225"/>
      <c r="AN29" s="423"/>
      <c r="AO29" s="423"/>
      <c r="AP29" s="423"/>
      <c r="AQ29" s="423"/>
      <c r="AR29" s="423"/>
      <c r="AS29" s="423"/>
      <c r="AT29" s="423"/>
    </row>
    <row r="30" spans="2:46" x14ac:dyDescent="0.25">
      <c r="B30" s="25"/>
      <c r="C30" s="91" t="s">
        <v>997</v>
      </c>
      <c r="D30" s="644"/>
      <c r="E30" s="92" t="s">
        <v>353</v>
      </c>
      <c r="F30" s="683"/>
      <c r="G30" s="90"/>
      <c r="H30" s="89"/>
      <c r="K30" s="25"/>
      <c r="L30" s="91"/>
      <c r="M30" s="631"/>
      <c r="N30" s="92"/>
      <c r="O30" s="672"/>
      <c r="P30" s="90"/>
      <c r="Q30" s="89"/>
      <c r="T30" s="25"/>
      <c r="U30" s="91"/>
      <c r="V30" s="28"/>
      <c r="W30" s="92"/>
      <c r="X30" s="672"/>
      <c r="Y30" s="90"/>
      <c r="Z30" s="89"/>
      <c r="AB30"/>
      <c r="AC30"/>
      <c r="AE30" s="672"/>
      <c r="AF30" s="672"/>
      <c r="AG30" s="672"/>
      <c r="AH30" s="672"/>
      <c r="AI30" s="672"/>
      <c r="AJ30" s="672"/>
      <c r="AK30" s="672"/>
      <c r="AN30" s="672"/>
      <c r="AO30" s="672"/>
      <c r="AP30" s="672"/>
      <c r="AQ30" s="672"/>
      <c r="AR30" s="672"/>
      <c r="AS30" s="672"/>
      <c r="AT30" s="672"/>
    </row>
    <row r="31" spans="2:46" x14ac:dyDescent="0.25">
      <c r="B31" s="25"/>
      <c r="C31" s="91" t="s">
        <v>428</v>
      </c>
      <c r="D31" s="644"/>
      <c r="E31" s="92" t="s">
        <v>358</v>
      </c>
      <c r="F31" s="91" t="s">
        <v>134</v>
      </c>
      <c r="G31" s="670"/>
      <c r="H31" s="89"/>
      <c r="K31" s="25"/>
      <c r="L31" s="91" t="s">
        <v>428</v>
      </c>
      <c r="M31" s="631"/>
      <c r="N31" s="92" t="s">
        <v>358</v>
      </c>
      <c r="O31" s="91" t="s">
        <v>134</v>
      </c>
      <c r="P31" s="632">
        <v>0.5</v>
      </c>
      <c r="Q31" s="89"/>
      <c r="T31" s="25"/>
      <c r="U31" s="91" t="s">
        <v>428</v>
      </c>
      <c r="V31" s="28">
        <f>D31</f>
        <v>0</v>
      </c>
      <c r="W31" s="92" t="s">
        <v>358</v>
      </c>
      <c r="X31" s="91" t="s">
        <v>134</v>
      </c>
      <c r="Y31" s="28">
        <f>G31</f>
        <v>0</v>
      </c>
      <c r="Z31" s="89"/>
      <c r="AB31"/>
      <c r="AC31"/>
      <c r="AE31" s="225"/>
      <c r="AF31" s="225"/>
      <c r="AG31" s="225"/>
      <c r="AH31" s="225"/>
      <c r="AI31" s="225"/>
      <c r="AJ31" s="225"/>
      <c r="AK31" s="225"/>
      <c r="AN31" s="423"/>
      <c r="AO31" s="423"/>
      <c r="AP31" s="423"/>
      <c r="AQ31" s="423"/>
      <c r="AR31" s="423"/>
      <c r="AS31" s="423"/>
      <c r="AT31" s="423"/>
    </row>
    <row r="32" spans="2:46" x14ac:dyDescent="0.25">
      <c r="B32" s="25"/>
      <c r="C32" s="91" t="s">
        <v>427</v>
      </c>
      <c r="D32" s="644"/>
      <c r="E32" s="92" t="s">
        <v>358</v>
      </c>
      <c r="F32" s="225"/>
      <c r="G32" s="90"/>
      <c r="H32" s="89"/>
      <c r="K32" s="25"/>
      <c r="L32" s="91" t="s">
        <v>427</v>
      </c>
      <c r="M32" s="631"/>
      <c r="N32" s="92" t="s">
        <v>358</v>
      </c>
      <c r="O32" s="667"/>
      <c r="P32" s="90"/>
      <c r="Q32" s="89"/>
      <c r="T32" s="25"/>
      <c r="U32" s="91" t="s">
        <v>427</v>
      </c>
      <c r="V32" s="28">
        <f>D32</f>
        <v>0</v>
      </c>
      <c r="W32" s="92" t="s">
        <v>358</v>
      </c>
      <c r="X32" s="667"/>
      <c r="Y32" s="90"/>
      <c r="Z32" s="89"/>
      <c r="AB32"/>
      <c r="AC32"/>
      <c r="AE32" s="225"/>
      <c r="AF32" s="225"/>
      <c r="AG32" s="225"/>
      <c r="AH32" s="225"/>
      <c r="AI32" s="225"/>
      <c r="AJ32" s="225"/>
      <c r="AK32" s="225"/>
      <c r="AN32" s="423"/>
      <c r="AO32" s="423"/>
      <c r="AP32" s="423"/>
      <c r="AQ32" s="423"/>
      <c r="AR32" s="423"/>
      <c r="AS32" s="423"/>
      <c r="AT32" s="423"/>
    </row>
    <row r="33" spans="2:46" x14ac:dyDescent="0.25">
      <c r="B33" s="25"/>
      <c r="C33" s="91" t="s">
        <v>429</v>
      </c>
      <c r="D33" s="644"/>
      <c r="E33" s="92" t="s">
        <v>354</v>
      </c>
      <c r="F33" s="27"/>
      <c r="G33" s="27"/>
      <c r="H33" s="27"/>
      <c r="K33" s="25"/>
      <c r="L33" s="91" t="s">
        <v>429</v>
      </c>
      <c r="M33" s="631"/>
      <c r="N33" s="92" t="s">
        <v>354</v>
      </c>
      <c r="O33" s="27"/>
      <c r="P33" s="27"/>
      <c r="Q33" s="27"/>
      <c r="T33" s="25"/>
      <c r="U33" s="91" t="s">
        <v>351</v>
      </c>
      <c r="V33" s="28">
        <f>D33</f>
        <v>0</v>
      </c>
      <c r="W33" s="92" t="s">
        <v>354</v>
      </c>
      <c r="X33" s="27"/>
      <c r="Y33" s="27"/>
      <c r="Z33" s="27"/>
      <c r="AB33"/>
      <c r="AC33"/>
      <c r="AE33" s="225"/>
      <c r="AF33" s="225"/>
      <c r="AG33" s="225"/>
      <c r="AH33" s="225"/>
      <c r="AI33" s="225"/>
      <c r="AJ33" s="225"/>
      <c r="AK33" s="225"/>
      <c r="AL33" s="108"/>
      <c r="AN33" s="423"/>
      <c r="AO33" s="423"/>
      <c r="AP33" s="423"/>
      <c r="AQ33" s="423"/>
      <c r="AR33" s="423"/>
      <c r="AS33" s="423"/>
      <c r="AT33" s="423"/>
    </row>
    <row r="34" spans="2:46" ht="6" customHeight="1" x14ac:dyDescent="0.25">
      <c r="B34" s="25"/>
      <c r="C34" s="25"/>
      <c r="D34" s="25"/>
      <c r="E34" s="25"/>
      <c r="F34" s="25"/>
      <c r="G34" s="25"/>
      <c r="H34" s="25"/>
      <c r="K34" s="25"/>
      <c r="L34" s="25"/>
      <c r="M34" s="25"/>
      <c r="N34" s="25"/>
      <c r="O34" s="25"/>
      <c r="P34" s="25"/>
      <c r="Q34" s="25"/>
      <c r="T34" s="25"/>
      <c r="U34" s="25"/>
      <c r="V34" s="25"/>
      <c r="W34" s="25"/>
      <c r="X34" s="25"/>
      <c r="Y34" s="25"/>
      <c r="Z34" s="25"/>
      <c r="AB34"/>
      <c r="AC34"/>
      <c r="AE34" s="225"/>
      <c r="AF34" s="225"/>
      <c r="AG34" s="225"/>
      <c r="AH34" s="225"/>
      <c r="AI34" s="225"/>
      <c r="AJ34" s="225"/>
      <c r="AK34" s="225"/>
      <c r="AL34" s="108"/>
      <c r="AN34" s="423"/>
      <c r="AO34" s="423"/>
      <c r="AP34" s="423"/>
      <c r="AQ34" s="423"/>
      <c r="AR34" s="423"/>
      <c r="AS34" s="423"/>
      <c r="AT34" s="423"/>
    </row>
    <row r="35" spans="2:46" ht="15.75" x14ac:dyDescent="0.25">
      <c r="B35" s="723" t="s">
        <v>352</v>
      </c>
      <c r="C35" s="723"/>
      <c r="D35" s="723"/>
      <c r="E35" s="723"/>
      <c r="F35" s="723"/>
      <c r="G35" s="723"/>
      <c r="H35" s="723"/>
      <c r="K35" s="723" t="s">
        <v>352</v>
      </c>
      <c r="L35" s="723"/>
      <c r="M35" s="723"/>
      <c r="N35" s="723"/>
      <c r="O35" s="723"/>
      <c r="P35" s="723"/>
      <c r="Q35" s="723"/>
      <c r="T35" s="723" t="s">
        <v>352</v>
      </c>
      <c r="U35" s="723"/>
      <c r="V35" s="723"/>
      <c r="W35" s="723"/>
      <c r="X35" s="723"/>
      <c r="Y35" s="723"/>
      <c r="Z35" s="723"/>
      <c r="AB35"/>
      <c r="AC35"/>
      <c r="AE35" s="723" t="s">
        <v>352</v>
      </c>
      <c r="AF35" s="723"/>
      <c r="AG35" s="723"/>
      <c r="AH35" s="723"/>
      <c r="AI35" s="723"/>
      <c r="AJ35" s="723"/>
      <c r="AK35" s="723"/>
      <c r="AL35" s="108"/>
      <c r="AN35" s="723" t="s">
        <v>352</v>
      </c>
      <c r="AO35" s="723"/>
      <c r="AP35" s="723"/>
      <c r="AQ35" s="723"/>
      <c r="AR35" s="723"/>
      <c r="AS35" s="723"/>
      <c r="AT35" s="723"/>
    </row>
    <row r="36" spans="2:46" ht="15.75" customHeight="1" x14ac:dyDescent="0.25">
      <c r="B36" s="385"/>
      <c r="C36" s="93" t="s">
        <v>349</v>
      </c>
      <c r="D36" s="644"/>
      <c r="E36" s="94" t="s">
        <v>36</v>
      </c>
      <c r="F36" s="95"/>
      <c r="G36" s="95"/>
      <c r="H36" s="95"/>
      <c r="K36" s="385"/>
      <c r="L36" s="93" t="s">
        <v>349</v>
      </c>
      <c r="M36" s="630"/>
      <c r="N36" s="94" t="s">
        <v>36</v>
      </c>
      <c r="O36" s="95"/>
      <c r="P36" s="95"/>
      <c r="Q36" s="95"/>
      <c r="T36" s="385"/>
      <c r="U36" s="93" t="s">
        <v>349</v>
      </c>
      <c r="V36" s="28">
        <f>D36</f>
        <v>0</v>
      </c>
      <c r="W36" s="94" t="s">
        <v>36</v>
      </c>
      <c r="X36" s="95"/>
      <c r="Y36" s="95"/>
      <c r="Z36" s="95"/>
      <c r="AB36"/>
      <c r="AC36"/>
      <c r="AE36" s="385"/>
      <c r="AF36" s="93" t="s">
        <v>349</v>
      </c>
      <c r="AG36" s="144">
        <v>1</v>
      </c>
      <c r="AH36" s="29" t="s">
        <v>382</v>
      </c>
      <c r="AI36" s="27"/>
      <c r="AJ36" s="27"/>
      <c r="AK36" s="27"/>
      <c r="AN36" s="385"/>
      <c r="AO36" s="93" t="s">
        <v>349</v>
      </c>
      <c r="AP36" s="431">
        <v>3680</v>
      </c>
      <c r="AQ36" s="29" t="s">
        <v>382</v>
      </c>
      <c r="AR36" s="27"/>
      <c r="AS36" s="27"/>
      <c r="AT36" s="27"/>
    </row>
    <row r="37" spans="2:46" ht="6" customHeight="1" x14ac:dyDescent="0.25">
      <c r="B37" s="96"/>
      <c r="C37" s="96"/>
      <c r="D37" s="96"/>
      <c r="E37" s="96"/>
      <c r="F37" s="96"/>
      <c r="G37" s="96"/>
      <c r="H37" s="96"/>
      <c r="K37" s="96"/>
      <c r="L37" s="96"/>
      <c r="M37" s="96"/>
      <c r="N37" s="96"/>
      <c r="O37" s="96"/>
      <c r="P37" s="96"/>
      <c r="Q37" s="96"/>
      <c r="T37" s="96"/>
      <c r="U37" s="96"/>
      <c r="V37" s="96"/>
      <c r="W37" s="96"/>
      <c r="X37" s="96"/>
      <c r="Y37" s="96"/>
      <c r="Z37" s="96"/>
      <c r="AB37"/>
      <c r="AC37"/>
      <c r="AE37" s="29"/>
      <c r="AF37" s="73"/>
      <c r="AG37" s="73"/>
      <c r="AH37" s="73"/>
      <c r="AI37" s="27"/>
      <c r="AJ37" s="27"/>
      <c r="AK37" s="27"/>
      <c r="AL37" s="108"/>
      <c r="AN37" s="29"/>
      <c r="AO37" s="73"/>
      <c r="AP37" s="73"/>
      <c r="AQ37" s="73"/>
      <c r="AR37" s="27"/>
      <c r="AS37" s="27"/>
      <c r="AT37" s="27"/>
    </row>
    <row r="38" spans="2:46" ht="15.75" x14ac:dyDescent="0.25">
      <c r="B38" s="723" t="s">
        <v>338</v>
      </c>
      <c r="C38" s="723"/>
      <c r="D38" s="723"/>
      <c r="E38" s="723"/>
      <c r="F38" s="723"/>
      <c r="G38" s="723"/>
      <c r="H38" s="723"/>
      <c r="K38" s="723" t="s">
        <v>338</v>
      </c>
      <c r="L38" s="723"/>
      <c r="M38" s="723"/>
      <c r="N38" s="723"/>
      <c r="O38" s="723"/>
      <c r="P38" s="723"/>
      <c r="Q38" s="723"/>
      <c r="T38" s="723" t="s">
        <v>338</v>
      </c>
      <c r="U38" s="723"/>
      <c r="V38" s="723"/>
      <c r="W38" s="723"/>
      <c r="X38" s="723"/>
      <c r="Y38" s="723"/>
      <c r="Z38" s="723"/>
      <c r="AB38"/>
      <c r="AC38"/>
      <c r="AE38" s="723" t="s">
        <v>338</v>
      </c>
      <c r="AF38" s="723"/>
      <c r="AG38" s="723"/>
      <c r="AH38" s="723"/>
      <c r="AI38" s="723"/>
      <c r="AJ38" s="723"/>
      <c r="AK38" s="723"/>
      <c r="AL38" s="108"/>
      <c r="AN38" s="723" t="s">
        <v>338</v>
      </c>
      <c r="AO38" s="723"/>
      <c r="AP38" s="723"/>
      <c r="AQ38" s="723"/>
      <c r="AR38" s="723"/>
      <c r="AS38" s="723"/>
      <c r="AT38" s="723"/>
    </row>
    <row r="39" spans="2:46" x14ac:dyDescent="0.25">
      <c r="B39" s="97"/>
      <c r="C39" s="93" t="s">
        <v>164</v>
      </c>
      <c r="D39" s="644"/>
      <c r="E39" s="94" t="s">
        <v>358</v>
      </c>
      <c r="F39" s="95"/>
      <c r="G39" s="95"/>
      <c r="H39" s="95"/>
      <c r="I39" s="109"/>
      <c r="J39" s="109"/>
      <c r="K39" s="97"/>
      <c r="L39" s="93" t="s">
        <v>164</v>
      </c>
      <c r="M39" s="636"/>
      <c r="N39" s="94" t="s">
        <v>358</v>
      </c>
      <c r="O39" s="95"/>
      <c r="P39" s="95"/>
      <c r="Q39" s="95"/>
      <c r="R39" s="109"/>
      <c r="S39" s="109"/>
      <c r="T39" s="97"/>
      <c r="U39" s="93" t="s">
        <v>164</v>
      </c>
      <c r="V39" s="28">
        <f>D39</f>
        <v>0</v>
      </c>
      <c r="W39" s="94" t="s">
        <v>358</v>
      </c>
      <c r="X39" s="95"/>
      <c r="Y39" s="95"/>
      <c r="Z39" s="95"/>
      <c r="AB39"/>
      <c r="AC39"/>
      <c r="AE39" s="97"/>
      <c r="AF39" s="93" t="s">
        <v>164</v>
      </c>
      <c r="AG39" s="145">
        <v>0</v>
      </c>
      <c r="AH39" s="94" t="s">
        <v>358</v>
      </c>
      <c r="AI39" s="95"/>
      <c r="AJ39" s="95"/>
      <c r="AK39" s="95"/>
      <c r="AL39" s="108"/>
      <c r="AN39" s="97"/>
      <c r="AO39" s="93" t="s">
        <v>164</v>
      </c>
      <c r="AP39" s="427">
        <v>0</v>
      </c>
      <c r="AQ39" s="94" t="s">
        <v>358</v>
      </c>
      <c r="AR39" s="95"/>
      <c r="AS39" s="95"/>
      <c r="AT39" s="95"/>
    </row>
    <row r="40" spans="2:46" x14ac:dyDescent="0.25">
      <c r="B40" s="97"/>
      <c r="C40" s="93" t="s">
        <v>163</v>
      </c>
      <c r="D40" s="644"/>
      <c r="E40" s="94" t="s">
        <v>358</v>
      </c>
      <c r="F40" s="95"/>
      <c r="G40" s="95"/>
      <c r="H40" s="95"/>
      <c r="I40" s="109"/>
      <c r="J40" s="109"/>
      <c r="K40" s="97"/>
      <c r="L40" s="93" t="s">
        <v>163</v>
      </c>
      <c r="M40" s="636"/>
      <c r="N40" s="94" t="s">
        <v>358</v>
      </c>
      <c r="O40" s="95"/>
      <c r="P40" s="95"/>
      <c r="Q40" s="95"/>
      <c r="R40" s="109"/>
      <c r="S40" s="109"/>
      <c r="T40" s="97"/>
      <c r="U40" s="93" t="s">
        <v>163</v>
      </c>
      <c r="V40" s="28">
        <f>D40</f>
        <v>0</v>
      </c>
      <c r="W40" s="94" t="s">
        <v>358</v>
      </c>
      <c r="X40" s="95"/>
      <c r="Y40" s="95"/>
      <c r="Z40" s="95"/>
      <c r="AB40"/>
      <c r="AC40"/>
      <c r="AE40" s="97"/>
      <c r="AF40" s="93" t="s">
        <v>163</v>
      </c>
      <c r="AG40" s="145">
        <v>12</v>
      </c>
      <c r="AH40" s="94" t="s">
        <v>358</v>
      </c>
      <c r="AI40" s="95"/>
      <c r="AJ40" s="95"/>
      <c r="AK40" s="95"/>
      <c r="AL40" s="108"/>
      <c r="AN40" s="97"/>
      <c r="AO40" s="93" t="s">
        <v>163</v>
      </c>
      <c r="AP40" s="427">
        <v>5.79</v>
      </c>
      <c r="AQ40" s="94" t="s">
        <v>358</v>
      </c>
      <c r="AR40" s="95"/>
      <c r="AS40" s="95"/>
      <c r="AT40" s="95"/>
    </row>
    <row r="41" spans="2:46" x14ac:dyDescent="0.25">
      <c r="B41" s="97"/>
      <c r="C41" s="93" t="s">
        <v>28</v>
      </c>
      <c r="D41" s="644"/>
      <c r="E41" s="94" t="s">
        <v>358</v>
      </c>
      <c r="F41" s="95"/>
      <c r="G41" s="95"/>
      <c r="H41" s="95"/>
      <c r="K41" s="97"/>
      <c r="L41" s="93" t="s">
        <v>28</v>
      </c>
      <c r="M41" s="636"/>
      <c r="N41" s="94" t="s">
        <v>358</v>
      </c>
      <c r="O41" s="95"/>
      <c r="P41" s="95"/>
      <c r="Q41" s="95"/>
      <c r="T41" s="97"/>
      <c r="U41" s="93" t="s">
        <v>28</v>
      </c>
      <c r="V41" s="28">
        <f>D41</f>
        <v>0</v>
      </c>
      <c r="W41" s="94" t="s">
        <v>358</v>
      </c>
      <c r="X41" s="95"/>
      <c r="Y41" s="95"/>
      <c r="Z41" s="95"/>
      <c r="AE41" s="97"/>
      <c r="AF41" s="93" t="s">
        <v>28</v>
      </c>
      <c r="AG41" s="145">
        <v>5</v>
      </c>
      <c r="AH41" s="94" t="s">
        <v>358</v>
      </c>
      <c r="AI41" s="95"/>
      <c r="AJ41" s="95"/>
      <c r="AK41" s="95"/>
      <c r="AL41" s="108"/>
      <c r="AN41" s="97"/>
      <c r="AO41" s="93" t="s">
        <v>28</v>
      </c>
      <c r="AP41" s="427">
        <v>2.79</v>
      </c>
      <c r="AQ41" s="94" t="s">
        <v>358</v>
      </c>
      <c r="AR41" s="95"/>
      <c r="AS41" s="95"/>
      <c r="AT41" s="95"/>
    </row>
    <row r="42" spans="2:46" ht="6" customHeight="1" x14ac:dyDescent="0.25">
      <c r="B42" s="96"/>
      <c r="C42" s="96"/>
      <c r="D42" s="96"/>
      <c r="E42" s="96"/>
      <c r="F42" s="96"/>
      <c r="G42" s="96"/>
      <c r="H42" s="96"/>
      <c r="K42" s="96"/>
      <c r="L42" s="96"/>
      <c r="M42" s="96"/>
      <c r="N42" s="96"/>
      <c r="O42" s="96"/>
      <c r="P42" s="96"/>
      <c r="Q42" s="96"/>
      <c r="T42" s="96"/>
      <c r="U42" s="96"/>
      <c r="V42" s="143"/>
      <c r="W42" s="96"/>
      <c r="X42" s="96"/>
      <c r="Y42" s="96"/>
      <c r="Z42" s="96"/>
      <c r="AE42" s="96"/>
      <c r="AF42" s="96"/>
      <c r="AG42" s="143"/>
      <c r="AH42" s="96"/>
      <c r="AI42" s="96"/>
      <c r="AJ42" s="96"/>
      <c r="AK42" s="96"/>
      <c r="AL42" s="108"/>
      <c r="AN42" s="96"/>
      <c r="AO42" s="96"/>
      <c r="AP42" s="143"/>
      <c r="AQ42" s="96"/>
      <c r="AR42" s="96"/>
      <c r="AS42" s="96"/>
      <c r="AT42" s="96"/>
    </row>
    <row r="43" spans="2:46" ht="15.75" x14ac:dyDescent="0.25">
      <c r="B43" s="723" t="s">
        <v>339</v>
      </c>
      <c r="C43" s="723"/>
      <c r="D43" s="723"/>
      <c r="E43" s="723"/>
      <c r="F43" s="723"/>
      <c r="G43" s="723"/>
      <c r="H43" s="723"/>
      <c r="K43" s="723" t="s">
        <v>339</v>
      </c>
      <c r="L43" s="723"/>
      <c r="M43" s="723"/>
      <c r="N43" s="723"/>
      <c r="O43" s="723"/>
      <c r="P43" s="723"/>
      <c r="Q43" s="723"/>
      <c r="T43" s="723" t="s">
        <v>339</v>
      </c>
      <c r="U43" s="723"/>
      <c r="V43" s="723"/>
      <c r="W43" s="723"/>
      <c r="X43" s="723"/>
      <c r="Y43" s="723"/>
      <c r="Z43" s="723"/>
      <c r="AE43" s="723" t="s">
        <v>339</v>
      </c>
      <c r="AF43" s="723"/>
      <c r="AG43" s="723"/>
      <c r="AH43" s="723"/>
      <c r="AI43" s="723"/>
      <c r="AJ43" s="723"/>
      <c r="AK43" s="723"/>
      <c r="AL43" s="108"/>
      <c r="AN43" s="723" t="s">
        <v>339</v>
      </c>
      <c r="AO43" s="723"/>
      <c r="AP43" s="723"/>
      <c r="AQ43" s="723"/>
      <c r="AR43" s="723"/>
      <c r="AS43" s="723"/>
      <c r="AT43" s="723"/>
    </row>
    <row r="44" spans="2:46" outlineLevel="1" x14ac:dyDescent="0.25">
      <c r="B44" s="98"/>
      <c r="C44" s="179" t="s">
        <v>153</v>
      </c>
      <c r="D44" s="644"/>
      <c r="E44" s="94" t="s">
        <v>356</v>
      </c>
      <c r="F44" s="59"/>
      <c r="G44" s="99"/>
      <c r="H44" s="99"/>
      <c r="K44" s="98"/>
      <c r="L44" s="179" t="s">
        <v>153</v>
      </c>
      <c r="M44" s="633"/>
      <c r="N44" s="94" t="s">
        <v>356</v>
      </c>
      <c r="O44" s="59"/>
      <c r="P44" s="99"/>
      <c r="Q44" s="99"/>
      <c r="T44" s="98"/>
      <c r="U44" s="179" t="s">
        <v>153</v>
      </c>
      <c r="V44" s="28">
        <f t="shared" ref="V44:V59" si="0">D44</f>
        <v>0</v>
      </c>
      <c r="W44" s="94" t="s">
        <v>356</v>
      </c>
      <c r="X44" s="59"/>
      <c r="Y44" s="99"/>
      <c r="Z44" s="99"/>
      <c r="AE44" s="86"/>
      <c r="AF44" s="179" t="s">
        <v>153</v>
      </c>
      <c r="AG44" s="145">
        <v>2</v>
      </c>
      <c r="AH44" s="94" t="s">
        <v>356</v>
      </c>
      <c r="AI44" s="87"/>
      <c r="AJ44" s="73"/>
      <c r="AK44" s="73"/>
      <c r="AL44" s="108"/>
      <c r="AN44" s="86"/>
      <c r="AO44" s="179" t="s">
        <v>153</v>
      </c>
      <c r="AP44" s="427">
        <v>1.107</v>
      </c>
      <c r="AQ44" s="94" t="s">
        <v>356</v>
      </c>
      <c r="AR44" s="87"/>
      <c r="AS44" s="73"/>
      <c r="AT44" s="73"/>
    </row>
    <row r="45" spans="2:46" outlineLevel="1" x14ac:dyDescent="0.25">
      <c r="B45" s="98"/>
      <c r="C45" s="179" t="s">
        <v>552</v>
      </c>
      <c r="D45" s="644"/>
      <c r="E45" s="94" t="s">
        <v>356</v>
      </c>
      <c r="F45" s="59"/>
      <c r="G45" s="99"/>
      <c r="H45" s="99"/>
      <c r="K45" s="98"/>
      <c r="L45" s="179" t="s">
        <v>552</v>
      </c>
      <c r="M45" s="633"/>
      <c r="N45" s="94" t="s">
        <v>356</v>
      </c>
      <c r="O45" s="59"/>
      <c r="P45" s="99"/>
      <c r="Q45" s="99"/>
      <c r="T45" s="98"/>
      <c r="U45" s="179" t="s">
        <v>552</v>
      </c>
      <c r="V45" s="28">
        <f t="shared" si="0"/>
        <v>0</v>
      </c>
      <c r="W45" s="94" t="s">
        <v>356</v>
      </c>
      <c r="X45" s="59"/>
      <c r="Y45" s="99"/>
      <c r="Z45" s="99"/>
      <c r="AE45" s="86"/>
      <c r="AF45" s="179" t="s">
        <v>552</v>
      </c>
      <c r="AG45" s="145">
        <v>0</v>
      </c>
      <c r="AH45" s="94" t="s">
        <v>356</v>
      </c>
      <c r="AI45" s="87"/>
      <c r="AJ45" s="73"/>
      <c r="AK45" s="73"/>
      <c r="AL45" s="108"/>
      <c r="AN45" s="86"/>
      <c r="AO45" s="179" t="s">
        <v>552</v>
      </c>
      <c r="AP45" s="427">
        <v>0</v>
      </c>
      <c r="AQ45" s="94" t="s">
        <v>356</v>
      </c>
      <c r="AR45" s="87"/>
      <c r="AS45" s="73"/>
      <c r="AT45" s="73"/>
    </row>
    <row r="46" spans="2:46" outlineLevel="1" x14ac:dyDescent="0.25">
      <c r="B46" s="98"/>
      <c r="C46" s="179" t="s">
        <v>552</v>
      </c>
      <c r="D46" s="644"/>
      <c r="E46" s="94" t="s">
        <v>357</v>
      </c>
      <c r="F46" s="59"/>
      <c r="G46" s="99"/>
      <c r="H46" s="99"/>
      <c r="K46" s="98"/>
      <c r="L46" s="179" t="s">
        <v>552</v>
      </c>
      <c r="M46" s="633"/>
      <c r="N46" s="94" t="s">
        <v>357</v>
      </c>
      <c r="O46" s="59"/>
      <c r="P46" s="99"/>
      <c r="Q46" s="99"/>
      <c r="T46" s="98"/>
      <c r="U46" s="179" t="s">
        <v>552</v>
      </c>
      <c r="V46" s="28">
        <f t="shared" si="0"/>
        <v>0</v>
      </c>
      <c r="W46" s="94" t="s">
        <v>357</v>
      </c>
      <c r="X46" s="59"/>
      <c r="Y46" s="99"/>
      <c r="Z46" s="99"/>
      <c r="AE46" s="86"/>
      <c r="AF46" s="179" t="s">
        <v>552</v>
      </c>
      <c r="AG46" s="145">
        <v>0</v>
      </c>
      <c r="AH46" s="94" t="s">
        <v>357</v>
      </c>
      <c r="AI46" s="87"/>
      <c r="AJ46" s="73"/>
      <c r="AK46" s="73"/>
      <c r="AL46" s="108"/>
      <c r="AN46" s="86"/>
      <c r="AO46" s="179" t="s">
        <v>552</v>
      </c>
      <c r="AP46" s="427">
        <v>0</v>
      </c>
      <c r="AQ46" s="94" t="s">
        <v>357</v>
      </c>
      <c r="AR46" s="87"/>
      <c r="AS46" s="73"/>
      <c r="AT46" s="73"/>
    </row>
    <row r="47" spans="2:46" outlineLevel="1" x14ac:dyDescent="0.25">
      <c r="B47" s="98"/>
      <c r="C47" s="179" t="s">
        <v>464</v>
      </c>
      <c r="D47" s="644"/>
      <c r="E47" s="94" t="s">
        <v>356</v>
      </c>
      <c r="F47" s="59"/>
      <c r="G47" s="99"/>
      <c r="H47" s="99"/>
      <c r="K47" s="98"/>
      <c r="L47" s="179" t="s">
        <v>464</v>
      </c>
      <c r="M47" s="633"/>
      <c r="N47" s="94" t="s">
        <v>356</v>
      </c>
      <c r="O47" s="59"/>
      <c r="P47" s="99"/>
      <c r="Q47" s="99"/>
      <c r="T47" s="98"/>
      <c r="U47" s="179" t="s">
        <v>464</v>
      </c>
      <c r="V47" s="28">
        <f t="shared" si="0"/>
        <v>0</v>
      </c>
      <c r="W47" s="94" t="s">
        <v>356</v>
      </c>
      <c r="X47" s="59"/>
      <c r="Y47" s="99"/>
      <c r="Z47" s="99"/>
      <c r="AE47" s="86"/>
      <c r="AF47" s="179" t="s">
        <v>464</v>
      </c>
      <c r="AG47" s="145">
        <v>0</v>
      </c>
      <c r="AH47" s="94" t="s">
        <v>356</v>
      </c>
      <c r="AI47" s="87"/>
      <c r="AJ47" s="73"/>
      <c r="AK47" s="73"/>
      <c r="AL47" s="108"/>
      <c r="AN47" s="86"/>
      <c r="AO47" s="179" t="s">
        <v>464</v>
      </c>
      <c r="AP47" s="427">
        <v>0</v>
      </c>
      <c r="AQ47" s="94" t="s">
        <v>356</v>
      </c>
      <c r="AR47" s="87"/>
      <c r="AS47" s="73"/>
      <c r="AT47" s="73"/>
    </row>
    <row r="48" spans="2:46" outlineLevel="1" x14ac:dyDescent="0.25">
      <c r="B48" s="98"/>
      <c r="C48" s="179" t="s">
        <v>464</v>
      </c>
      <c r="D48" s="644"/>
      <c r="E48" s="94" t="s">
        <v>357</v>
      </c>
      <c r="F48" s="59"/>
      <c r="G48" s="99"/>
      <c r="H48" s="99"/>
      <c r="K48" s="98"/>
      <c r="L48" s="179" t="s">
        <v>464</v>
      </c>
      <c r="M48" s="633"/>
      <c r="N48" s="94" t="s">
        <v>357</v>
      </c>
      <c r="O48" s="59"/>
      <c r="P48" s="99"/>
      <c r="Q48" s="99"/>
      <c r="T48" s="98"/>
      <c r="U48" s="179" t="s">
        <v>464</v>
      </c>
      <c r="V48" s="28">
        <f t="shared" si="0"/>
        <v>0</v>
      </c>
      <c r="W48" s="94" t="s">
        <v>357</v>
      </c>
      <c r="X48" s="59"/>
      <c r="Y48" s="99"/>
      <c r="Z48" s="99"/>
      <c r="AE48" s="86"/>
      <c r="AF48" s="179" t="s">
        <v>464</v>
      </c>
      <c r="AG48" s="145">
        <v>0</v>
      </c>
      <c r="AH48" s="94" t="s">
        <v>357</v>
      </c>
      <c r="AI48" s="87"/>
      <c r="AJ48" s="73"/>
      <c r="AK48" s="73"/>
      <c r="AL48" s="108"/>
      <c r="AN48" s="86"/>
      <c r="AO48" s="179" t="s">
        <v>464</v>
      </c>
      <c r="AP48" s="427">
        <v>0</v>
      </c>
      <c r="AQ48" s="94" t="s">
        <v>357</v>
      </c>
      <c r="AR48" s="87"/>
      <c r="AS48" s="73"/>
      <c r="AT48" s="73"/>
    </row>
    <row r="49" spans="2:46" outlineLevel="1" x14ac:dyDescent="0.25">
      <c r="B49" s="98"/>
      <c r="C49" s="179" t="s">
        <v>465</v>
      </c>
      <c r="D49" s="644"/>
      <c r="E49" s="94" t="s">
        <v>356</v>
      </c>
      <c r="F49" s="59"/>
      <c r="G49" s="99"/>
      <c r="H49" s="99"/>
      <c r="K49" s="98"/>
      <c r="L49" s="179" t="s">
        <v>465</v>
      </c>
      <c r="M49" s="633"/>
      <c r="N49" s="94" t="s">
        <v>356</v>
      </c>
      <c r="O49" s="59"/>
      <c r="P49" s="99"/>
      <c r="Q49" s="99"/>
      <c r="T49" s="98"/>
      <c r="U49" s="179" t="s">
        <v>465</v>
      </c>
      <c r="V49" s="28">
        <f t="shared" si="0"/>
        <v>0</v>
      </c>
      <c r="W49" s="94" t="s">
        <v>356</v>
      </c>
      <c r="X49" s="59"/>
      <c r="Y49" s="99"/>
      <c r="Z49" s="99"/>
      <c r="AE49" s="86"/>
      <c r="AF49" s="179" t="s">
        <v>465</v>
      </c>
      <c r="AG49" s="145">
        <v>0</v>
      </c>
      <c r="AH49" s="94" t="s">
        <v>356</v>
      </c>
      <c r="AI49" s="87"/>
      <c r="AJ49" s="73"/>
      <c r="AK49" s="73"/>
      <c r="AL49" s="108"/>
      <c r="AN49" s="86"/>
      <c r="AO49" s="179" t="s">
        <v>465</v>
      </c>
      <c r="AP49" s="427">
        <v>0</v>
      </c>
      <c r="AQ49" s="94" t="s">
        <v>356</v>
      </c>
      <c r="AR49" s="87"/>
      <c r="AS49" s="73"/>
      <c r="AT49" s="73"/>
    </row>
    <row r="50" spans="2:46" outlineLevel="1" x14ac:dyDescent="0.25">
      <c r="B50" s="98"/>
      <c r="C50" s="179" t="s">
        <v>457</v>
      </c>
      <c r="D50" s="644"/>
      <c r="E50" s="94" t="s">
        <v>356</v>
      </c>
      <c r="F50" s="59"/>
      <c r="G50" s="99"/>
      <c r="H50" s="99"/>
      <c r="K50" s="98"/>
      <c r="L50" s="179" t="s">
        <v>457</v>
      </c>
      <c r="M50" s="633"/>
      <c r="N50" s="94" t="s">
        <v>356</v>
      </c>
      <c r="O50" s="59"/>
      <c r="P50" s="99"/>
      <c r="Q50" s="99"/>
      <c r="T50" s="98"/>
      <c r="U50" s="179" t="s">
        <v>457</v>
      </c>
      <c r="V50" s="28">
        <f t="shared" si="0"/>
        <v>0</v>
      </c>
      <c r="W50" s="94" t="s">
        <v>356</v>
      </c>
      <c r="X50" s="59"/>
      <c r="Y50" s="99"/>
      <c r="Z50" s="99"/>
      <c r="AE50" s="86"/>
      <c r="AF50" s="179" t="s">
        <v>457</v>
      </c>
      <c r="AG50" s="145">
        <v>0</v>
      </c>
      <c r="AH50" s="94" t="s">
        <v>356</v>
      </c>
      <c r="AI50" s="87"/>
      <c r="AJ50" s="73"/>
      <c r="AK50" s="73"/>
      <c r="AL50" s="108"/>
      <c r="AN50" s="86"/>
      <c r="AO50" s="179" t="s">
        <v>457</v>
      </c>
      <c r="AP50" s="427">
        <v>0</v>
      </c>
      <c r="AQ50" s="94" t="s">
        <v>356</v>
      </c>
      <c r="AR50" s="87"/>
      <c r="AS50" s="73"/>
      <c r="AT50" s="73"/>
    </row>
    <row r="51" spans="2:46" outlineLevel="1" x14ac:dyDescent="0.25">
      <c r="B51" s="98"/>
      <c r="C51" s="179" t="s">
        <v>133</v>
      </c>
      <c r="D51" s="644"/>
      <c r="E51" s="94" t="s">
        <v>356</v>
      </c>
      <c r="F51" s="95"/>
      <c r="G51" s="99"/>
      <c r="H51" s="99"/>
      <c r="K51" s="98"/>
      <c r="L51" s="179" t="s">
        <v>133</v>
      </c>
      <c r="M51" s="633"/>
      <c r="N51" s="94" t="s">
        <v>356</v>
      </c>
      <c r="O51" s="95"/>
      <c r="P51" s="99"/>
      <c r="Q51" s="99"/>
      <c r="T51" s="98"/>
      <c r="U51" s="179" t="s">
        <v>133</v>
      </c>
      <c r="V51" s="28">
        <f t="shared" si="0"/>
        <v>0</v>
      </c>
      <c r="W51" s="94" t="s">
        <v>356</v>
      </c>
      <c r="X51" s="95"/>
      <c r="Y51" s="99"/>
      <c r="Z51" s="99"/>
      <c r="AE51" s="86"/>
      <c r="AF51" s="179" t="s">
        <v>133</v>
      </c>
      <c r="AG51" s="145">
        <v>0</v>
      </c>
      <c r="AH51" s="94" t="s">
        <v>356</v>
      </c>
      <c r="AI51" s="27"/>
      <c r="AJ51" s="73"/>
      <c r="AK51" s="73"/>
      <c r="AL51" s="108"/>
      <c r="AN51" s="86"/>
      <c r="AO51" s="179" t="s">
        <v>133</v>
      </c>
      <c r="AP51" s="427">
        <v>0</v>
      </c>
      <c r="AQ51" s="94" t="s">
        <v>356</v>
      </c>
      <c r="AR51" s="27"/>
      <c r="AS51" s="73"/>
      <c r="AT51" s="73"/>
    </row>
    <row r="52" spans="2:46" outlineLevel="1" x14ac:dyDescent="0.25">
      <c r="B52" s="98"/>
      <c r="C52" s="179" t="s">
        <v>458</v>
      </c>
      <c r="D52" s="644"/>
      <c r="E52" s="94" t="s">
        <v>356</v>
      </c>
      <c r="F52" s="95"/>
      <c r="G52" s="99"/>
      <c r="H52" s="99"/>
      <c r="K52" s="98"/>
      <c r="L52" s="179" t="s">
        <v>458</v>
      </c>
      <c r="M52" s="633"/>
      <c r="N52" s="94" t="s">
        <v>356</v>
      </c>
      <c r="O52" s="95"/>
      <c r="P52" s="99"/>
      <c r="Q52" s="99"/>
      <c r="T52" s="98"/>
      <c r="U52" s="179" t="s">
        <v>458</v>
      </c>
      <c r="V52" s="28">
        <f t="shared" si="0"/>
        <v>0</v>
      </c>
      <c r="W52" s="94" t="s">
        <v>356</v>
      </c>
      <c r="X52" s="95"/>
      <c r="Y52" s="99"/>
      <c r="Z52" s="99"/>
      <c r="AE52" s="86"/>
      <c r="AF52" s="179" t="s">
        <v>458</v>
      </c>
      <c r="AG52" s="145">
        <v>0</v>
      </c>
      <c r="AH52" s="94" t="s">
        <v>356</v>
      </c>
      <c r="AI52" s="27"/>
      <c r="AJ52" s="73"/>
      <c r="AK52" s="73"/>
      <c r="AL52" s="108"/>
      <c r="AN52" s="86"/>
      <c r="AO52" s="179" t="s">
        <v>458</v>
      </c>
      <c r="AP52" s="427">
        <v>0</v>
      </c>
      <c r="AQ52" s="94" t="s">
        <v>356</v>
      </c>
      <c r="AR52" s="27"/>
      <c r="AS52" s="73"/>
      <c r="AT52" s="73"/>
    </row>
    <row r="53" spans="2:46" outlineLevel="1" x14ac:dyDescent="0.25">
      <c r="B53" s="98"/>
      <c r="C53" s="179" t="s">
        <v>459</v>
      </c>
      <c r="D53" s="644"/>
      <c r="E53" s="94" t="s">
        <v>356</v>
      </c>
      <c r="F53" s="95"/>
      <c r="G53" s="99"/>
      <c r="H53" s="99"/>
      <c r="K53" s="98"/>
      <c r="L53" s="179" t="s">
        <v>459</v>
      </c>
      <c r="M53" s="633"/>
      <c r="N53" s="94" t="s">
        <v>356</v>
      </c>
      <c r="O53" s="95"/>
      <c r="P53" s="99"/>
      <c r="Q53" s="99"/>
      <c r="T53" s="98"/>
      <c r="U53" s="179" t="s">
        <v>459</v>
      </c>
      <c r="V53" s="28">
        <f t="shared" si="0"/>
        <v>0</v>
      </c>
      <c r="W53" s="94" t="s">
        <v>356</v>
      </c>
      <c r="X53" s="95"/>
      <c r="Y53" s="99"/>
      <c r="Z53" s="99"/>
      <c r="AE53" s="86"/>
      <c r="AF53" s="179" t="s">
        <v>459</v>
      </c>
      <c r="AG53" s="145">
        <v>0</v>
      </c>
      <c r="AH53" s="94" t="s">
        <v>356</v>
      </c>
      <c r="AI53" s="27"/>
      <c r="AJ53" s="73"/>
      <c r="AK53" s="73"/>
      <c r="AL53" s="108"/>
      <c r="AN53" s="86"/>
      <c r="AO53" s="179" t="s">
        <v>459</v>
      </c>
      <c r="AP53" s="427">
        <v>0</v>
      </c>
      <c r="AQ53" s="94" t="s">
        <v>356</v>
      </c>
      <c r="AR53" s="27"/>
      <c r="AS53" s="73"/>
      <c r="AT53" s="73"/>
    </row>
    <row r="54" spans="2:46" outlineLevel="1" x14ac:dyDescent="0.25">
      <c r="B54" s="98"/>
      <c r="C54" s="179" t="s">
        <v>460</v>
      </c>
      <c r="D54" s="644"/>
      <c r="E54" s="94" t="s">
        <v>357</v>
      </c>
      <c r="F54" s="95"/>
      <c r="G54" s="99"/>
      <c r="H54" s="99"/>
      <c r="K54" s="98"/>
      <c r="L54" s="179" t="s">
        <v>460</v>
      </c>
      <c r="M54" s="633"/>
      <c r="N54" s="94" t="s">
        <v>357</v>
      </c>
      <c r="O54" s="95"/>
      <c r="P54" s="99"/>
      <c r="Q54" s="99"/>
      <c r="T54" s="98"/>
      <c r="U54" s="179" t="s">
        <v>460</v>
      </c>
      <c r="V54" s="28">
        <f t="shared" si="0"/>
        <v>0</v>
      </c>
      <c r="W54" s="94" t="s">
        <v>357</v>
      </c>
      <c r="X54" s="95"/>
      <c r="Y54" s="99"/>
      <c r="Z54" s="99"/>
      <c r="AE54" s="86"/>
      <c r="AF54" s="179" t="s">
        <v>460</v>
      </c>
      <c r="AG54" s="145">
        <v>1</v>
      </c>
      <c r="AH54" s="94" t="s">
        <v>357</v>
      </c>
      <c r="AI54" s="27"/>
      <c r="AJ54" s="73"/>
      <c r="AK54" s="73"/>
      <c r="AL54" s="108"/>
      <c r="AN54" s="86"/>
      <c r="AO54" s="179" t="s">
        <v>460</v>
      </c>
      <c r="AP54" s="427">
        <v>0.443898833367118</v>
      </c>
      <c r="AQ54" s="94" t="s">
        <v>357</v>
      </c>
      <c r="AR54" s="27"/>
      <c r="AS54" s="73"/>
      <c r="AT54" s="73"/>
    </row>
    <row r="55" spans="2:46" outlineLevel="1" x14ac:dyDescent="0.25">
      <c r="B55" s="98"/>
      <c r="C55" s="179" t="s">
        <v>461</v>
      </c>
      <c r="D55" s="644"/>
      <c r="E55" s="94" t="s">
        <v>357</v>
      </c>
      <c r="F55" s="95"/>
      <c r="G55" s="99"/>
      <c r="H55" s="99"/>
      <c r="K55" s="98"/>
      <c r="L55" s="179" t="s">
        <v>461</v>
      </c>
      <c r="M55" s="633"/>
      <c r="N55" s="94" t="s">
        <v>357</v>
      </c>
      <c r="O55" s="95"/>
      <c r="P55" s="99"/>
      <c r="Q55" s="99"/>
      <c r="T55" s="98"/>
      <c r="U55" s="179" t="s">
        <v>461</v>
      </c>
      <c r="V55" s="28">
        <f t="shared" si="0"/>
        <v>0</v>
      </c>
      <c r="W55" s="94" t="s">
        <v>357</v>
      </c>
      <c r="X55" s="95"/>
      <c r="Y55" s="99"/>
      <c r="Z55" s="99"/>
      <c r="AE55" s="86"/>
      <c r="AF55" s="179" t="s">
        <v>461</v>
      </c>
      <c r="AG55" s="145">
        <v>0</v>
      </c>
      <c r="AH55" s="94" t="s">
        <v>357</v>
      </c>
      <c r="AI55" s="27"/>
      <c r="AJ55" s="73"/>
      <c r="AK55" s="73"/>
      <c r="AL55" s="108"/>
      <c r="AN55" s="86"/>
      <c r="AO55" s="179" t="s">
        <v>461</v>
      </c>
      <c r="AP55" s="427">
        <v>0</v>
      </c>
      <c r="AQ55" s="94" t="s">
        <v>357</v>
      </c>
      <c r="AR55" s="27"/>
      <c r="AS55" s="73"/>
      <c r="AT55" s="73"/>
    </row>
    <row r="56" spans="2:46" ht="16.5" customHeight="1" outlineLevel="1" x14ac:dyDescent="0.25">
      <c r="B56" s="98"/>
      <c r="C56" s="179" t="s">
        <v>462</v>
      </c>
      <c r="D56" s="644"/>
      <c r="E56" s="94" t="s">
        <v>359</v>
      </c>
      <c r="F56" s="95"/>
      <c r="G56" s="99"/>
      <c r="H56" s="99"/>
      <c r="K56" s="98"/>
      <c r="L56" s="179" t="s">
        <v>462</v>
      </c>
      <c r="M56" s="633"/>
      <c r="N56" s="94" t="s">
        <v>359</v>
      </c>
      <c r="O56" s="95"/>
      <c r="P56" s="99"/>
      <c r="Q56" s="99"/>
      <c r="T56" s="98"/>
      <c r="U56" s="179" t="s">
        <v>462</v>
      </c>
      <c r="V56" s="28">
        <f t="shared" si="0"/>
        <v>0</v>
      </c>
      <c r="W56" s="94" t="s">
        <v>359</v>
      </c>
      <c r="X56" s="95"/>
      <c r="Y56" s="99"/>
      <c r="Z56" s="99"/>
      <c r="AE56" s="86"/>
      <c r="AF56" s="179" t="s">
        <v>462</v>
      </c>
      <c r="AG56" s="145">
        <v>2</v>
      </c>
      <c r="AH56" s="94" t="s">
        <v>359</v>
      </c>
      <c r="AI56" s="27"/>
      <c r="AJ56" s="73"/>
      <c r="AK56" s="73"/>
      <c r="AL56" s="108"/>
      <c r="AN56" s="86"/>
      <c r="AO56" s="179" t="s">
        <v>462</v>
      </c>
      <c r="AP56" s="427">
        <v>1.3462049016245501</v>
      </c>
      <c r="AQ56" s="94" t="s">
        <v>359</v>
      </c>
      <c r="AR56" s="27"/>
      <c r="AS56" s="73"/>
      <c r="AT56" s="73"/>
    </row>
    <row r="57" spans="2:46" outlineLevel="1" x14ac:dyDescent="0.25">
      <c r="B57" s="93" t="s">
        <v>30</v>
      </c>
      <c r="C57" s="634" t="s">
        <v>167</v>
      </c>
      <c r="D57" s="644"/>
      <c r="E57" s="94" t="s">
        <v>356</v>
      </c>
      <c r="F57" s="95"/>
      <c r="G57" s="99"/>
      <c r="H57" s="99"/>
      <c r="K57" s="93" t="s">
        <v>30</v>
      </c>
      <c r="L57" s="629" t="s">
        <v>167</v>
      </c>
      <c r="M57" s="633"/>
      <c r="N57" s="94" t="s">
        <v>356</v>
      </c>
      <c r="O57" s="95"/>
      <c r="P57" s="99"/>
      <c r="Q57" s="99"/>
      <c r="T57" s="93" t="s">
        <v>30</v>
      </c>
      <c r="U57" s="28" t="s">
        <v>167</v>
      </c>
      <c r="V57" s="28">
        <f t="shared" si="0"/>
        <v>0</v>
      </c>
      <c r="W57" s="94" t="s">
        <v>356</v>
      </c>
      <c r="X57" s="95"/>
      <c r="Y57" s="99"/>
      <c r="Z57" s="99"/>
      <c r="AE57" s="24" t="s">
        <v>154</v>
      </c>
      <c r="AF57" s="44" t="s">
        <v>167</v>
      </c>
      <c r="AG57" s="145">
        <v>0</v>
      </c>
      <c r="AH57" s="94" t="s">
        <v>356</v>
      </c>
      <c r="AI57" s="27"/>
      <c r="AJ57" s="73"/>
      <c r="AK57" s="73"/>
      <c r="AL57" s="108"/>
      <c r="AN57" s="24" t="s">
        <v>154</v>
      </c>
      <c r="AO57" s="44" t="s">
        <v>167</v>
      </c>
      <c r="AP57" s="427">
        <v>0</v>
      </c>
      <c r="AQ57" s="94" t="s">
        <v>356</v>
      </c>
      <c r="AR57" s="27"/>
      <c r="AS57" s="73"/>
      <c r="AT57" s="73"/>
    </row>
    <row r="58" spans="2:46" outlineLevel="1" x14ac:dyDescent="0.25">
      <c r="B58" s="93" t="s">
        <v>30</v>
      </c>
      <c r="C58" s="634" t="s">
        <v>167</v>
      </c>
      <c r="D58" s="644"/>
      <c r="E58" s="94" t="s">
        <v>357</v>
      </c>
      <c r="F58" s="95"/>
      <c r="G58" s="99"/>
      <c r="H58" s="99"/>
      <c r="J58" s="110"/>
      <c r="K58" s="93" t="s">
        <v>30</v>
      </c>
      <c r="L58" s="629" t="s">
        <v>167</v>
      </c>
      <c r="M58" s="633"/>
      <c r="N58" s="94" t="s">
        <v>357</v>
      </c>
      <c r="O58" s="95"/>
      <c r="P58" s="99"/>
      <c r="Q58" s="99"/>
      <c r="S58" s="110"/>
      <c r="T58" s="93" t="s">
        <v>30</v>
      </c>
      <c r="U58" s="28" t="s">
        <v>167</v>
      </c>
      <c r="V58" s="28">
        <f t="shared" si="0"/>
        <v>0</v>
      </c>
      <c r="W58" s="94" t="s">
        <v>357</v>
      </c>
      <c r="X58" s="95"/>
      <c r="Y58" s="99"/>
      <c r="Z58" s="99"/>
      <c r="AE58" s="24" t="s">
        <v>154</v>
      </c>
      <c r="AF58" s="44" t="s">
        <v>167</v>
      </c>
      <c r="AG58" s="145">
        <v>0</v>
      </c>
      <c r="AH58" s="94" t="s">
        <v>357</v>
      </c>
      <c r="AI58" s="27"/>
      <c r="AJ58" s="73"/>
      <c r="AK58" s="73"/>
      <c r="AL58" s="108"/>
      <c r="AN58" s="24" t="s">
        <v>154</v>
      </c>
      <c r="AO58" s="44" t="s">
        <v>167</v>
      </c>
      <c r="AP58" s="427">
        <v>0</v>
      </c>
      <c r="AQ58" s="94" t="s">
        <v>357</v>
      </c>
      <c r="AR58" s="27"/>
      <c r="AS58" s="73"/>
      <c r="AT58" s="73"/>
    </row>
    <row r="59" spans="2:46" outlineLevel="1" x14ac:dyDescent="0.25">
      <c r="B59" s="93" t="s">
        <v>30</v>
      </c>
      <c r="C59" s="635" t="s">
        <v>167</v>
      </c>
      <c r="D59" s="644"/>
      <c r="E59" s="94" t="s">
        <v>359</v>
      </c>
      <c r="F59" s="95"/>
      <c r="G59" s="99"/>
      <c r="H59" s="99"/>
      <c r="K59" s="93" t="s">
        <v>30</v>
      </c>
      <c r="L59" s="637" t="s">
        <v>167</v>
      </c>
      <c r="M59" s="633"/>
      <c r="N59" s="94" t="s">
        <v>359</v>
      </c>
      <c r="O59" s="95"/>
      <c r="P59" s="99"/>
      <c r="Q59" s="99"/>
      <c r="T59" s="93" t="s">
        <v>30</v>
      </c>
      <c r="U59" s="30" t="s">
        <v>167</v>
      </c>
      <c r="V59" s="28">
        <f t="shared" si="0"/>
        <v>0</v>
      </c>
      <c r="W59" s="94" t="s">
        <v>359</v>
      </c>
      <c r="X59" s="95"/>
      <c r="Y59" s="99"/>
      <c r="Z59" s="99"/>
      <c r="AE59" s="24" t="s">
        <v>154</v>
      </c>
      <c r="AF59" s="30" t="s">
        <v>167</v>
      </c>
      <c r="AG59" s="145">
        <v>0</v>
      </c>
      <c r="AH59" s="94" t="s">
        <v>359</v>
      </c>
      <c r="AI59" s="27"/>
      <c r="AJ59" s="73"/>
      <c r="AK59" s="73"/>
      <c r="AL59" s="108"/>
      <c r="AN59" s="24" t="s">
        <v>154</v>
      </c>
      <c r="AO59" s="30" t="s">
        <v>167</v>
      </c>
      <c r="AP59" s="427">
        <v>0</v>
      </c>
      <c r="AQ59" s="94" t="s">
        <v>359</v>
      </c>
      <c r="AR59" s="27"/>
      <c r="AS59" s="73"/>
      <c r="AT59" s="73"/>
    </row>
    <row r="60" spans="2:46" ht="6" customHeight="1" x14ac:dyDescent="0.25">
      <c r="B60" s="96"/>
      <c r="C60" s="96"/>
      <c r="D60" s="96"/>
      <c r="E60" s="96"/>
      <c r="F60" s="96"/>
      <c r="G60" s="96"/>
      <c r="H60" s="96"/>
      <c r="K60" s="96"/>
      <c r="L60" s="96"/>
      <c r="M60" s="96"/>
      <c r="N60" s="96"/>
      <c r="O60" s="96"/>
      <c r="P60" s="96"/>
      <c r="Q60" s="96"/>
      <c r="T60" s="96"/>
      <c r="U60" s="96"/>
      <c r="V60" s="96"/>
      <c r="W60" s="96"/>
      <c r="X60" s="96"/>
      <c r="Y60" s="96"/>
      <c r="Z60" s="96"/>
      <c r="AE60" s="29"/>
      <c r="AF60" s="73"/>
      <c r="AG60" s="73"/>
      <c r="AH60" s="73"/>
      <c r="AI60" s="27"/>
      <c r="AJ60" s="27"/>
      <c r="AK60" s="27"/>
      <c r="AL60" s="108"/>
      <c r="AN60" s="29"/>
      <c r="AO60" s="73"/>
      <c r="AP60" s="73"/>
      <c r="AQ60" s="73"/>
      <c r="AR60" s="27"/>
      <c r="AS60" s="27"/>
      <c r="AT60" s="27"/>
    </row>
    <row r="61" spans="2:46" ht="15.75" x14ac:dyDescent="0.25">
      <c r="B61" s="723" t="s">
        <v>360</v>
      </c>
      <c r="C61" s="723"/>
      <c r="D61" s="723"/>
      <c r="E61" s="723"/>
      <c r="F61" s="723"/>
      <c r="G61" s="723"/>
      <c r="H61" s="723"/>
      <c r="K61" s="723" t="s">
        <v>360</v>
      </c>
      <c r="L61" s="723"/>
      <c r="M61" s="723"/>
      <c r="N61" s="723"/>
      <c r="O61" s="723"/>
      <c r="P61" s="723"/>
      <c r="Q61" s="723"/>
      <c r="T61" s="723" t="s">
        <v>360</v>
      </c>
      <c r="U61" s="723"/>
      <c r="V61" s="723"/>
      <c r="W61" s="723"/>
      <c r="X61" s="723"/>
      <c r="Y61" s="723"/>
      <c r="Z61" s="723"/>
      <c r="AE61" s="723" t="s">
        <v>360</v>
      </c>
      <c r="AF61" s="723"/>
      <c r="AG61" s="723"/>
      <c r="AH61" s="723"/>
      <c r="AI61" s="723"/>
      <c r="AJ61" s="723"/>
      <c r="AK61" s="723"/>
      <c r="AL61" s="108"/>
      <c r="AN61" s="723" t="s">
        <v>360</v>
      </c>
      <c r="AO61" s="723"/>
      <c r="AP61" s="723"/>
      <c r="AQ61" s="723"/>
      <c r="AR61" s="723"/>
      <c r="AS61" s="723"/>
      <c r="AT61" s="723"/>
    </row>
    <row r="62" spans="2:46" x14ac:dyDescent="0.25">
      <c r="B62" s="93"/>
      <c r="C62" s="93" t="s">
        <v>345</v>
      </c>
      <c r="D62" s="644"/>
      <c r="E62" s="94" t="s">
        <v>363</v>
      </c>
      <c r="F62" s="117" t="s">
        <v>205</v>
      </c>
      <c r="G62" s="644"/>
      <c r="H62" s="118" t="s">
        <v>364</v>
      </c>
      <c r="K62" s="93"/>
      <c r="L62" s="93" t="s">
        <v>345</v>
      </c>
      <c r="M62" s="640"/>
      <c r="N62" s="94" t="s">
        <v>363</v>
      </c>
      <c r="O62" s="117" t="s">
        <v>205</v>
      </c>
      <c r="P62" s="641"/>
      <c r="Q62" s="118" t="s">
        <v>364</v>
      </c>
      <c r="T62" s="93"/>
      <c r="U62" s="93" t="s">
        <v>345</v>
      </c>
      <c r="V62" s="28">
        <f>D62</f>
        <v>0</v>
      </c>
      <c r="W62" s="94" t="s">
        <v>363</v>
      </c>
      <c r="X62" s="117" t="s">
        <v>205</v>
      </c>
      <c r="Y62" s="28">
        <f>G62</f>
        <v>0</v>
      </c>
      <c r="Z62" s="118" t="s">
        <v>364</v>
      </c>
      <c r="AE62" s="93"/>
      <c r="AF62" s="93" t="s">
        <v>345</v>
      </c>
      <c r="AG62" s="146">
        <v>1000</v>
      </c>
      <c r="AH62" s="94" t="s">
        <v>363</v>
      </c>
      <c r="AI62" s="117" t="s">
        <v>205</v>
      </c>
      <c r="AJ62" s="147">
        <v>0.375</v>
      </c>
      <c r="AK62" s="118" t="s">
        <v>364</v>
      </c>
      <c r="AL62" s="108"/>
      <c r="AN62" s="93"/>
      <c r="AO62" s="93" t="s">
        <v>345</v>
      </c>
      <c r="AP62" s="428">
        <v>440.2</v>
      </c>
      <c r="AQ62" s="94" t="s">
        <v>363</v>
      </c>
      <c r="AR62" s="117" t="s">
        <v>205</v>
      </c>
      <c r="AS62" s="429">
        <v>0.375</v>
      </c>
      <c r="AT62" s="118" t="s">
        <v>364</v>
      </c>
    </row>
    <row r="63" spans="2:46" x14ac:dyDescent="0.25">
      <c r="B63" s="93"/>
      <c r="C63" s="93" t="s">
        <v>361</v>
      </c>
      <c r="D63" s="644"/>
      <c r="E63" s="94" t="s">
        <v>358</v>
      </c>
      <c r="F63" s="117" t="s">
        <v>205</v>
      </c>
      <c r="G63" s="644"/>
      <c r="H63" s="118" t="s">
        <v>365</v>
      </c>
      <c r="K63" s="93"/>
      <c r="L63" s="93" t="s">
        <v>361</v>
      </c>
      <c r="M63" s="640"/>
      <c r="N63" s="94" t="s">
        <v>358</v>
      </c>
      <c r="O63" s="117" t="s">
        <v>205</v>
      </c>
      <c r="P63" s="641"/>
      <c r="Q63" s="118" t="s">
        <v>365</v>
      </c>
      <c r="T63" s="93"/>
      <c r="U63" s="93" t="s">
        <v>361</v>
      </c>
      <c r="V63" s="28">
        <f>D63</f>
        <v>0</v>
      </c>
      <c r="W63" s="94" t="s">
        <v>358</v>
      </c>
      <c r="X63" s="117" t="s">
        <v>205</v>
      </c>
      <c r="Y63" s="28">
        <f>G63</f>
        <v>0</v>
      </c>
      <c r="Z63" s="118" t="s">
        <v>365</v>
      </c>
      <c r="AE63" s="93"/>
      <c r="AF63" s="93" t="s">
        <v>361</v>
      </c>
      <c r="AG63" s="146">
        <v>42.800000000000011</v>
      </c>
      <c r="AH63" s="94" t="s">
        <v>358</v>
      </c>
      <c r="AI63" s="117" t="s">
        <v>205</v>
      </c>
      <c r="AJ63" s="147">
        <v>2.8</v>
      </c>
      <c r="AK63" s="118" t="s">
        <v>365</v>
      </c>
      <c r="AL63" s="108"/>
      <c r="AN63" s="93"/>
      <c r="AO63" s="93" t="s">
        <v>361</v>
      </c>
      <c r="AP63" s="428">
        <v>30.571428571428577</v>
      </c>
      <c r="AQ63" s="94" t="s">
        <v>358</v>
      </c>
      <c r="AR63" s="117" t="s">
        <v>205</v>
      </c>
      <c r="AS63" s="429">
        <v>14</v>
      </c>
      <c r="AT63" s="118" t="s">
        <v>365</v>
      </c>
    </row>
    <row r="64" spans="2:46" x14ac:dyDescent="0.25">
      <c r="B64" s="93"/>
      <c r="C64" s="93" t="s">
        <v>362</v>
      </c>
      <c r="D64" s="644"/>
      <c r="E64" s="94" t="s">
        <v>358</v>
      </c>
      <c r="F64" s="117" t="s">
        <v>205</v>
      </c>
      <c r="G64" s="644"/>
      <c r="H64" s="118" t="s">
        <v>365</v>
      </c>
      <c r="K64" s="93"/>
      <c r="L64" s="93" t="s">
        <v>362</v>
      </c>
      <c r="M64" s="640"/>
      <c r="N64" s="94" t="s">
        <v>358</v>
      </c>
      <c r="O64" s="117" t="s">
        <v>205</v>
      </c>
      <c r="P64" s="641"/>
      <c r="Q64" s="118" t="s">
        <v>365</v>
      </c>
      <c r="T64" s="93"/>
      <c r="U64" s="93" t="s">
        <v>362</v>
      </c>
      <c r="V64" s="28">
        <f>D64</f>
        <v>0</v>
      </c>
      <c r="W64" s="94" t="s">
        <v>358</v>
      </c>
      <c r="X64" s="117" t="s">
        <v>205</v>
      </c>
      <c r="Y64" s="28">
        <f>G64</f>
        <v>0</v>
      </c>
      <c r="Z64" s="118" t="s">
        <v>365</v>
      </c>
      <c r="AE64" s="93"/>
      <c r="AF64" s="93" t="s">
        <v>362</v>
      </c>
      <c r="AG64" s="146">
        <v>10.08</v>
      </c>
      <c r="AH64" s="94" t="s">
        <v>358</v>
      </c>
      <c r="AI64" s="117" t="s">
        <v>205</v>
      </c>
      <c r="AJ64" s="147"/>
      <c r="AK64" s="118" t="s">
        <v>365</v>
      </c>
      <c r="AL64" s="108"/>
      <c r="AN64" s="93"/>
      <c r="AO64" s="93" t="s">
        <v>362</v>
      </c>
      <c r="AP64" s="428">
        <v>7.2</v>
      </c>
      <c r="AQ64" s="94" t="s">
        <v>358</v>
      </c>
      <c r="AR64" s="117" t="s">
        <v>205</v>
      </c>
      <c r="AS64" s="429"/>
      <c r="AT64" s="118" t="s">
        <v>365</v>
      </c>
    </row>
    <row r="65" spans="2:46" x14ac:dyDescent="0.25">
      <c r="B65" s="93" t="s">
        <v>30</v>
      </c>
      <c r="C65" s="634" t="s">
        <v>167</v>
      </c>
      <c r="D65" s="644"/>
      <c r="E65" s="94" t="s">
        <v>358</v>
      </c>
      <c r="F65" s="117" t="s">
        <v>205</v>
      </c>
      <c r="G65" s="644"/>
      <c r="H65" s="118" t="s">
        <v>365</v>
      </c>
      <c r="K65" s="93" t="s">
        <v>30</v>
      </c>
      <c r="L65" s="629" t="s">
        <v>167</v>
      </c>
      <c r="M65" s="640"/>
      <c r="N65" s="94" t="s">
        <v>358</v>
      </c>
      <c r="O65" s="117" t="s">
        <v>205</v>
      </c>
      <c r="P65" s="641"/>
      <c r="Q65" s="118" t="s">
        <v>365</v>
      </c>
      <c r="T65" s="93" t="s">
        <v>30</v>
      </c>
      <c r="U65" s="28" t="s">
        <v>167</v>
      </c>
      <c r="V65" s="28">
        <f>D65</f>
        <v>0</v>
      </c>
      <c r="W65" s="94" t="s">
        <v>358</v>
      </c>
      <c r="X65" s="117" t="s">
        <v>205</v>
      </c>
      <c r="Y65" s="28">
        <f>G65</f>
        <v>0</v>
      </c>
      <c r="Z65" s="118" t="s">
        <v>365</v>
      </c>
      <c r="AE65" s="93" t="s">
        <v>30</v>
      </c>
      <c r="AF65" s="28" t="s">
        <v>167</v>
      </c>
      <c r="AG65" s="146">
        <v>0</v>
      </c>
      <c r="AH65" s="94" t="s">
        <v>358</v>
      </c>
      <c r="AI65" s="117" t="s">
        <v>205</v>
      </c>
      <c r="AJ65" s="147"/>
      <c r="AK65" s="118" t="s">
        <v>365</v>
      </c>
      <c r="AL65" s="108"/>
      <c r="AN65" s="93" t="s">
        <v>30</v>
      </c>
      <c r="AO65" s="28" t="s">
        <v>167</v>
      </c>
      <c r="AP65" s="428">
        <v>0</v>
      </c>
      <c r="AQ65" s="94" t="s">
        <v>358</v>
      </c>
      <c r="AR65" s="117" t="s">
        <v>205</v>
      </c>
      <c r="AS65" s="429"/>
      <c r="AT65" s="118" t="s">
        <v>365</v>
      </c>
    </row>
    <row r="66" spans="2:46" x14ac:dyDescent="0.25">
      <c r="B66" s="93" t="s">
        <v>30</v>
      </c>
      <c r="C66" s="634" t="s">
        <v>167</v>
      </c>
      <c r="D66" s="644"/>
      <c r="E66" s="94" t="s">
        <v>358</v>
      </c>
      <c r="F66" s="117" t="s">
        <v>205</v>
      </c>
      <c r="G66" s="644"/>
      <c r="H66" s="118" t="s">
        <v>365</v>
      </c>
      <c r="K66" s="93" t="s">
        <v>30</v>
      </c>
      <c r="L66" s="629" t="s">
        <v>167</v>
      </c>
      <c r="M66" s="640"/>
      <c r="N66" s="94" t="s">
        <v>358</v>
      </c>
      <c r="O66" s="117" t="s">
        <v>205</v>
      </c>
      <c r="P66" s="641"/>
      <c r="Q66" s="118" t="s">
        <v>365</v>
      </c>
      <c r="T66" s="93" t="s">
        <v>30</v>
      </c>
      <c r="U66" s="28" t="s">
        <v>167</v>
      </c>
      <c r="V66" s="28">
        <f>D66</f>
        <v>0</v>
      </c>
      <c r="W66" s="94" t="s">
        <v>358</v>
      </c>
      <c r="X66" s="117" t="s">
        <v>205</v>
      </c>
      <c r="Y66" s="28">
        <f>G66</f>
        <v>0</v>
      </c>
      <c r="Z66" s="118" t="s">
        <v>365</v>
      </c>
      <c r="AE66" s="93" t="s">
        <v>30</v>
      </c>
      <c r="AF66" s="28" t="s">
        <v>167</v>
      </c>
      <c r="AG66" s="146">
        <v>0</v>
      </c>
      <c r="AH66" s="94" t="s">
        <v>358</v>
      </c>
      <c r="AI66" s="117" t="s">
        <v>205</v>
      </c>
      <c r="AJ66" s="147"/>
      <c r="AK66" s="118" t="s">
        <v>365</v>
      </c>
      <c r="AL66" s="108"/>
      <c r="AN66" s="93" t="s">
        <v>30</v>
      </c>
      <c r="AO66" s="28" t="s">
        <v>167</v>
      </c>
      <c r="AP66" s="428">
        <v>0</v>
      </c>
      <c r="AQ66" s="94" t="s">
        <v>358</v>
      </c>
      <c r="AR66" s="117" t="s">
        <v>205</v>
      </c>
      <c r="AS66" s="429"/>
      <c r="AT66" s="118" t="s">
        <v>365</v>
      </c>
    </row>
    <row r="67" spans="2:46" ht="6" customHeight="1" x14ac:dyDescent="0.25">
      <c r="B67" s="25"/>
      <c r="C67" s="25"/>
      <c r="D67" s="25"/>
      <c r="E67" s="25"/>
      <c r="F67" s="25"/>
      <c r="G67" s="25"/>
      <c r="H67" s="25"/>
      <c r="K67" s="25"/>
      <c r="L67" s="25"/>
      <c r="M67" s="25"/>
      <c r="N67" s="25"/>
      <c r="O67" s="25"/>
      <c r="P67" s="25"/>
      <c r="Q67" s="25"/>
      <c r="T67" s="25"/>
      <c r="U67" s="25"/>
      <c r="V67" s="25"/>
      <c r="W67" s="25"/>
      <c r="X67" s="25"/>
      <c r="Y67" s="27"/>
      <c r="Z67" s="25"/>
      <c r="AE67" s="25"/>
      <c r="AF67" s="25"/>
      <c r="AG67" s="25"/>
      <c r="AH67" s="25"/>
      <c r="AI67" s="25"/>
      <c r="AJ67" s="27"/>
      <c r="AK67" s="25"/>
      <c r="AL67" s="108"/>
      <c r="AN67" s="25"/>
      <c r="AO67" s="25"/>
      <c r="AP67" s="25"/>
      <c r="AQ67" s="25"/>
      <c r="AR67" s="25"/>
      <c r="AS67" s="27"/>
      <c r="AT67" s="25"/>
    </row>
    <row r="68" spans="2:46" ht="15.75" x14ac:dyDescent="0.25">
      <c r="B68" s="723" t="s">
        <v>243</v>
      </c>
      <c r="C68" s="723"/>
      <c r="D68" s="723"/>
      <c r="E68" s="723"/>
      <c r="F68" s="723"/>
      <c r="G68" s="723"/>
      <c r="H68" s="723"/>
      <c r="K68" s="723" t="s">
        <v>243</v>
      </c>
      <c r="L68" s="723"/>
      <c r="M68" s="723"/>
      <c r="N68" s="723"/>
      <c r="O68" s="723"/>
      <c r="P68" s="723"/>
      <c r="Q68" s="723"/>
      <c r="T68" s="723" t="s">
        <v>243</v>
      </c>
      <c r="U68" s="723"/>
      <c r="V68" s="723"/>
      <c r="W68" s="723"/>
      <c r="X68" s="723"/>
      <c r="Y68" s="723"/>
      <c r="Z68" s="723"/>
      <c r="AE68" s="723" t="s">
        <v>243</v>
      </c>
      <c r="AF68" s="723"/>
      <c r="AG68" s="723"/>
      <c r="AH68" s="723"/>
      <c r="AI68" s="723"/>
      <c r="AJ68" s="723"/>
      <c r="AK68" s="723"/>
      <c r="AL68" s="108"/>
      <c r="AN68" s="723" t="s">
        <v>243</v>
      </c>
      <c r="AO68" s="723"/>
      <c r="AP68" s="723"/>
      <c r="AQ68" s="723"/>
      <c r="AR68" s="723"/>
      <c r="AS68" s="723"/>
      <c r="AT68" s="723"/>
    </row>
    <row r="69" spans="2:46" x14ac:dyDescent="0.25">
      <c r="B69" s="25"/>
      <c r="C69" s="93" t="s">
        <v>366</v>
      </c>
      <c r="D69" s="644"/>
      <c r="E69" s="94" t="s">
        <v>363</v>
      </c>
      <c r="F69" s="27"/>
      <c r="G69" s="27"/>
      <c r="H69" s="73"/>
      <c r="K69" s="25"/>
      <c r="L69" s="93" t="s">
        <v>366</v>
      </c>
      <c r="M69" s="639"/>
      <c r="N69" s="94" t="s">
        <v>363</v>
      </c>
      <c r="O69" s="27"/>
      <c r="P69" s="27"/>
      <c r="Q69" s="73"/>
      <c r="T69" s="25"/>
      <c r="U69" s="93" t="s">
        <v>366</v>
      </c>
      <c r="V69" s="28">
        <f t="shared" ref="V69:V83" si="1">D69</f>
        <v>0</v>
      </c>
      <c r="W69" s="94" t="s">
        <v>363</v>
      </c>
      <c r="X69" s="27"/>
      <c r="Y69" s="27"/>
      <c r="Z69" s="73"/>
      <c r="AE69" s="25"/>
      <c r="AF69" s="93" t="s">
        <v>366</v>
      </c>
      <c r="AG69" s="581">
        <v>0</v>
      </c>
      <c r="AH69" s="94" t="s">
        <v>363</v>
      </c>
      <c r="AI69" s="27"/>
      <c r="AJ69" s="27"/>
      <c r="AK69" s="73"/>
      <c r="AL69" s="108"/>
      <c r="AN69" s="25"/>
      <c r="AO69" s="93" t="s">
        <v>366</v>
      </c>
      <c r="AP69" s="582">
        <v>0</v>
      </c>
      <c r="AQ69" s="94" t="s">
        <v>363</v>
      </c>
      <c r="AR69" s="27"/>
      <c r="AS69" s="27"/>
      <c r="AT69" s="73"/>
    </row>
    <row r="70" spans="2:46" x14ac:dyDescent="0.25">
      <c r="B70" s="25"/>
      <c r="C70" s="93" t="s">
        <v>367</v>
      </c>
      <c r="D70" s="644"/>
      <c r="E70" s="94" t="s">
        <v>363</v>
      </c>
      <c r="F70" s="27"/>
      <c r="G70" s="27"/>
      <c r="H70" s="73"/>
      <c r="K70" s="25"/>
      <c r="L70" s="93" t="s">
        <v>367</v>
      </c>
      <c r="M70" s="639"/>
      <c r="N70" s="94" t="s">
        <v>363</v>
      </c>
      <c r="O70" s="27"/>
      <c r="P70" s="27"/>
      <c r="Q70" s="73"/>
      <c r="T70" s="25"/>
      <c r="U70" s="93" t="s">
        <v>367</v>
      </c>
      <c r="V70" s="28">
        <f t="shared" si="1"/>
        <v>0</v>
      </c>
      <c r="W70" s="94" t="s">
        <v>363</v>
      </c>
      <c r="X70" s="27"/>
      <c r="Y70" s="27"/>
      <c r="Z70" s="73"/>
      <c r="AE70" s="25"/>
      <c r="AF70" s="93" t="s">
        <v>367</v>
      </c>
      <c r="AG70" s="581">
        <v>6</v>
      </c>
      <c r="AH70" s="94" t="s">
        <v>363</v>
      </c>
      <c r="AI70" s="27"/>
      <c r="AJ70" s="27"/>
      <c r="AK70" s="73"/>
      <c r="AL70" s="108"/>
      <c r="AN70" s="25"/>
      <c r="AO70" s="93" t="s">
        <v>367</v>
      </c>
      <c r="AP70" s="582">
        <v>3.18</v>
      </c>
      <c r="AQ70" s="94" t="s">
        <v>363</v>
      </c>
      <c r="AR70" s="27"/>
      <c r="AS70" s="27"/>
      <c r="AT70" s="73"/>
    </row>
    <row r="71" spans="2:46" ht="25.5" x14ac:dyDescent="0.25">
      <c r="B71" s="25"/>
      <c r="C71" s="93" t="s">
        <v>368</v>
      </c>
      <c r="D71" s="644"/>
      <c r="E71" s="94" t="s">
        <v>363</v>
      </c>
      <c r="F71" s="141" t="s">
        <v>379</v>
      </c>
      <c r="G71" s="670"/>
      <c r="H71" s="118"/>
      <c r="K71" s="25"/>
      <c r="L71" s="93" t="s">
        <v>368</v>
      </c>
      <c r="M71" s="636"/>
      <c r="N71" s="94" t="s">
        <v>363</v>
      </c>
      <c r="O71" s="141" t="s">
        <v>379</v>
      </c>
      <c r="P71" s="645">
        <v>0.15</v>
      </c>
      <c r="Q71" s="118"/>
      <c r="T71" s="25"/>
      <c r="U71" s="93" t="s">
        <v>368</v>
      </c>
      <c r="V71" s="28">
        <f t="shared" si="1"/>
        <v>0</v>
      </c>
      <c r="W71" s="94" t="s">
        <v>363</v>
      </c>
      <c r="X71" s="141" t="s">
        <v>380</v>
      </c>
      <c r="Y71" s="28">
        <f>G71</f>
        <v>0</v>
      </c>
      <c r="Z71" s="118" t="s">
        <v>59</v>
      </c>
      <c r="AE71" s="25"/>
      <c r="AF71" s="93" t="s">
        <v>368</v>
      </c>
      <c r="AG71" s="145">
        <v>0</v>
      </c>
      <c r="AH71" s="94" t="s">
        <v>363</v>
      </c>
      <c r="AI71" s="141" t="s">
        <v>380</v>
      </c>
      <c r="AJ71" s="148">
        <v>0.11</v>
      </c>
      <c r="AK71" s="118" t="s">
        <v>59</v>
      </c>
      <c r="AL71" s="108"/>
      <c r="AN71" s="25"/>
      <c r="AO71" s="93" t="s">
        <v>368</v>
      </c>
      <c r="AP71" s="427">
        <v>0</v>
      </c>
      <c r="AQ71" s="94" t="s">
        <v>363</v>
      </c>
      <c r="AR71" s="141" t="s">
        <v>380</v>
      </c>
      <c r="AS71" s="430">
        <v>0.11</v>
      </c>
      <c r="AT71" s="118" t="s">
        <v>59</v>
      </c>
    </row>
    <row r="72" spans="2:46" x14ac:dyDescent="0.25">
      <c r="B72" s="25"/>
      <c r="C72" s="93" t="s">
        <v>369</v>
      </c>
      <c r="D72" s="644"/>
      <c r="E72" s="94" t="s">
        <v>363</v>
      </c>
      <c r="F72" s="27"/>
      <c r="G72" s="27"/>
      <c r="H72" s="73"/>
      <c r="K72" s="25"/>
      <c r="L72" s="93" t="s">
        <v>369</v>
      </c>
      <c r="M72" s="636"/>
      <c r="N72" s="94" t="s">
        <v>363</v>
      </c>
      <c r="O72" s="27"/>
      <c r="P72" s="27"/>
      <c r="Q72" s="73"/>
      <c r="T72" s="25"/>
      <c r="U72" s="93" t="s">
        <v>369</v>
      </c>
      <c r="V72" s="28">
        <f t="shared" si="1"/>
        <v>0</v>
      </c>
      <c r="W72" s="94" t="s">
        <v>363</v>
      </c>
      <c r="X72" s="27"/>
      <c r="Y72" s="27"/>
      <c r="Z72" s="73"/>
      <c r="AE72" s="25"/>
      <c r="AF72" s="93" t="s">
        <v>369</v>
      </c>
      <c r="AG72" s="145">
        <v>0</v>
      </c>
      <c r="AH72" s="94" t="s">
        <v>363</v>
      </c>
      <c r="AI72" s="27"/>
      <c r="AJ72" s="27"/>
      <c r="AK72" s="73"/>
      <c r="AL72" s="108"/>
      <c r="AN72" s="25"/>
      <c r="AO72" s="93" t="s">
        <v>369</v>
      </c>
      <c r="AP72" s="427">
        <v>0</v>
      </c>
      <c r="AQ72" s="94" t="s">
        <v>363</v>
      </c>
      <c r="AR72" s="27"/>
      <c r="AS72" s="27"/>
      <c r="AT72" s="73"/>
    </row>
    <row r="73" spans="2:46" x14ac:dyDescent="0.25">
      <c r="B73" s="25"/>
      <c r="C73" s="93" t="s">
        <v>370</v>
      </c>
      <c r="D73" s="644"/>
      <c r="E73" s="94" t="s">
        <v>363</v>
      </c>
      <c r="F73" s="27"/>
      <c r="G73" s="27"/>
      <c r="H73" s="73"/>
      <c r="K73" s="25"/>
      <c r="L73" s="93" t="s">
        <v>370</v>
      </c>
      <c r="M73" s="636"/>
      <c r="N73" s="94" t="s">
        <v>363</v>
      </c>
      <c r="O73" s="27"/>
      <c r="P73" s="27"/>
      <c r="Q73" s="73"/>
      <c r="T73" s="25"/>
      <c r="U73" s="93" t="s">
        <v>370</v>
      </c>
      <c r="V73" s="28">
        <f t="shared" si="1"/>
        <v>0</v>
      </c>
      <c r="W73" s="94" t="s">
        <v>363</v>
      </c>
      <c r="X73" s="27"/>
      <c r="Y73" s="27"/>
      <c r="Z73" s="73"/>
      <c r="AE73" s="25"/>
      <c r="AF73" s="93" t="s">
        <v>370</v>
      </c>
      <c r="AG73" s="145">
        <v>0</v>
      </c>
      <c r="AH73" s="94" t="s">
        <v>363</v>
      </c>
      <c r="AI73" s="27"/>
      <c r="AJ73" s="27"/>
      <c r="AK73" s="73"/>
      <c r="AL73" s="108"/>
      <c r="AN73" s="25"/>
      <c r="AO73" s="93" t="s">
        <v>370</v>
      </c>
      <c r="AP73" s="427">
        <v>0</v>
      </c>
      <c r="AQ73" s="94" t="s">
        <v>363</v>
      </c>
      <c r="AR73" s="27"/>
      <c r="AS73" s="27"/>
      <c r="AT73" s="73"/>
    </row>
    <row r="74" spans="2:46" x14ac:dyDescent="0.25">
      <c r="B74" s="25"/>
      <c r="C74" s="93" t="s">
        <v>371</v>
      </c>
      <c r="D74" s="644"/>
      <c r="E74" s="94" t="s">
        <v>363</v>
      </c>
      <c r="F74" s="27"/>
      <c r="G74" s="27"/>
      <c r="H74" s="73"/>
      <c r="K74" s="25"/>
      <c r="L74" s="93" t="s">
        <v>371</v>
      </c>
      <c r="M74" s="636"/>
      <c r="N74" s="94" t="s">
        <v>363</v>
      </c>
      <c r="O74" s="27"/>
      <c r="P74" s="27"/>
      <c r="Q74" s="73"/>
      <c r="T74" s="25"/>
      <c r="U74" s="93" t="s">
        <v>371</v>
      </c>
      <c r="V74" s="28">
        <f t="shared" si="1"/>
        <v>0</v>
      </c>
      <c r="W74" s="94" t="s">
        <v>363</v>
      </c>
      <c r="X74" s="27"/>
      <c r="Y74" s="27"/>
      <c r="Z74" s="73"/>
      <c r="AE74" s="25"/>
      <c r="AF74" s="93" t="s">
        <v>371</v>
      </c>
      <c r="AG74" s="145">
        <v>0</v>
      </c>
      <c r="AH74" s="94" t="s">
        <v>363</v>
      </c>
      <c r="AI74" s="27"/>
      <c r="AJ74" s="27"/>
      <c r="AK74" s="73"/>
      <c r="AL74" s="108"/>
      <c r="AN74" s="25"/>
      <c r="AO74" s="93" t="s">
        <v>371</v>
      </c>
      <c r="AP74" s="427">
        <v>0</v>
      </c>
      <c r="AQ74" s="94" t="s">
        <v>363</v>
      </c>
      <c r="AR74" s="27"/>
      <c r="AS74" s="27"/>
      <c r="AT74" s="73"/>
    </row>
    <row r="75" spans="2:46" x14ac:dyDescent="0.25">
      <c r="B75" s="25"/>
      <c r="C75" s="93" t="s">
        <v>467</v>
      </c>
      <c r="D75" s="644"/>
      <c r="E75" s="94" t="s">
        <v>363</v>
      </c>
      <c r="F75" s="27"/>
      <c r="G75" s="27"/>
      <c r="H75" s="73"/>
      <c r="K75" s="25"/>
      <c r="L75" s="93" t="s">
        <v>467</v>
      </c>
      <c r="M75" s="636"/>
      <c r="N75" s="94" t="s">
        <v>363</v>
      </c>
      <c r="O75" s="27"/>
      <c r="P75" s="27"/>
      <c r="Q75" s="73"/>
      <c r="T75" s="25"/>
      <c r="U75" s="93" t="s">
        <v>467</v>
      </c>
      <c r="V75" s="28">
        <f t="shared" si="1"/>
        <v>0</v>
      </c>
      <c r="W75" s="94" t="s">
        <v>363</v>
      </c>
      <c r="X75" s="27"/>
      <c r="Y75" s="27"/>
      <c r="Z75" s="73"/>
      <c r="AE75" s="25"/>
      <c r="AF75" s="93" t="s">
        <v>467</v>
      </c>
      <c r="AG75" s="145">
        <v>0</v>
      </c>
      <c r="AH75" s="94" t="s">
        <v>363</v>
      </c>
      <c r="AI75" s="27"/>
      <c r="AJ75" s="27"/>
      <c r="AK75" s="73"/>
      <c r="AL75" s="108"/>
      <c r="AN75" s="25"/>
      <c r="AO75" s="93" t="s">
        <v>467</v>
      </c>
      <c r="AP75" s="427">
        <v>0</v>
      </c>
      <c r="AQ75" s="94" t="s">
        <v>363</v>
      </c>
      <c r="AR75" s="27"/>
      <c r="AS75" s="27"/>
      <c r="AT75" s="73"/>
    </row>
    <row r="76" spans="2:46" x14ac:dyDescent="0.25">
      <c r="B76" s="25"/>
      <c r="C76" s="93" t="s">
        <v>46</v>
      </c>
      <c r="D76" s="644"/>
      <c r="E76" s="94" t="s">
        <v>363</v>
      </c>
      <c r="F76" s="27"/>
      <c r="G76" s="27"/>
      <c r="H76" s="73"/>
      <c r="K76" s="25"/>
      <c r="L76" s="93" t="s">
        <v>46</v>
      </c>
      <c r="M76" s="636"/>
      <c r="N76" s="94" t="s">
        <v>363</v>
      </c>
      <c r="O76" s="27"/>
      <c r="P76" s="27"/>
      <c r="Q76" s="73"/>
      <c r="T76" s="25"/>
      <c r="U76" s="93" t="s">
        <v>46</v>
      </c>
      <c r="V76" s="28">
        <f t="shared" si="1"/>
        <v>0</v>
      </c>
      <c r="W76" s="94" t="s">
        <v>363</v>
      </c>
      <c r="X76" s="27"/>
      <c r="Y76" s="27"/>
      <c r="Z76" s="73"/>
      <c r="AE76" s="25"/>
      <c r="AF76" s="93" t="s">
        <v>46</v>
      </c>
      <c r="AG76" s="145">
        <v>0</v>
      </c>
      <c r="AH76" s="94" t="s">
        <v>363</v>
      </c>
      <c r="AI76" s="27"/>
      <c r="AJ76" s="27"/>
      <c r="AK76" s="73"/>
      <c r="AL76" s="108"/>
      <c r="AN76" s="25"/>
      <c r="AO76" s="93" t="s">
        <v>46</v>
      </c>
      <c r="AP76" s="427">
        <v>0</v>
      </c>
      <c r="AQ76" s="94" t="s">
        <v>363</v>
      </c>
      <c r="AR76" s="27"/>
      <c r="AS76" s="27"/>
      <c r="AT76" s="73"/>
    </row>
    <row r="77" spans="2:46" x14ac:dyDescent="0.25">
      <c r="B77" s="25"/>
      <c r="C77" s="93" t="s">
        <v>468</v>
      </c>
      <c r="D77" s="644"/>
      <c r="E77" s="94" t="s">
        <v>378</v>
      </c>
      <c r="F77" s="27"/>
      <c r="G77" s="27"/>
      <c r="H77" s="73"/>
      <c r="K77" s="25"/>
      <c r="L77" s="93" t="s">
        <v>468</v>
      </c>
      <c r="M77" s="636"/>
      <c r="N77" s="94" t="s">
        <v>378</v>
      </c>
      <c r="O77" s="27"/>
      <c r="P77" s="27"/>
      <c r="Q77" s="73"/>
      <c r="T77" s="25"/>
      <c r="U77" s="93" t="s">
        <v>468</v>
      </c>
      <c r="V77" s="28">
        <f t="shared" si="1"/>
        <v>0</v>
      </c>
      <c r="W77" s="94" t="s">
        <v>378</v>
      </c>
      <c r="X77" s="27"/>
      <c r="Y77" s="39"/>
      <c r="Z77" s="73"/>
      <c r="AE77" s="25"/>
      <c r="AF77" s="93" t="s">
        <v>468</v>
      </c>
      <c r="AG77" s="145">
        <v>0</v>
      </c>
      <c r="AH77" s="94" t="s">
        <v>378</v>
      </c>
      <c r="AI77" s="27"/>
      <c r="AJ77" s="39"/>
      <c r="AK77" s="73"/>
      <c r="AL77" s="108"/>
      <c r="AN77" s="25"/>
      <c r="AO77" s="93" t="s">
        <v>468</v>
      </c>
      <c r="AP77" s="427">
        <v>0</v>
      </c>
      <c r="AQ77" s="94" t="s">
        <v>378</v>
      </c>
      <c r="AR77" s="27"/>
      <c r="AS77" s="39"/>
      <c r="AT77" s="73"/>
    </row>
    <row r="78" spans="2:46" x14ac:dyDescent="0.25">
      <c r="B78" s="25"/>
      <c r="C78" s="93" t="s">
        <v>469</v>
      </c>
      <c r="D78" s="644"/>
      <c r="E78" s="94" t="s">
        <v>378</v>
      </c>
      <c r="F78" s="27"/>
      <c r="G78" s="27"/>
      <c r="H78" s="73"/>
      <c r="K78" s="25"/>
      <c r="L78" s="93" t="s">
        <v>469</v>
      </c>
      <c r="M78" s="636"/>
      <c r="N78" s="94" t="s">
        <v>378</v>
      </c>
      <c r="O78" s="27"/>
      <c r="P78" s="27"/>
      <c r="Q78" s="73"/>
      <c r="T78" s="25"/>
      <c r="U78" s="93" t="s">
        <v>469</v>
      </c>
      <c r="V78" s="28">
        <f t="shared" si="1"/>
        <v>0</v>
      </c>
      <c r="W78" s="94" t="s">
        <v>378</v>
      </c>
      <c r="X78" s="27"/>
      <c r="Y78" s="39"/>
      <c r="Z78" s="73"/>
      <c r="AE78" s="25"/>
      <c r="AF78" s="93" t="s">
        <v>469</v>
      </c>
      <c r="AG78" s="145">
        <v>0</v>
      </c>
      <c r="AH78" s="94" t="s">
        <v>378</v>
      </c>
      <c r="AI78" s="27"/>
      <c r="AJ78" s="39"/>
      <c r="AK78" s="73"/>
      <c r="AL78" s="108"/>
      <c r="AN78" s="25"/>
      <c r="AO78" s="93" t="s">
        <v>469</v>
      </c>
      <c r="AP78" s="427">
        <v>0</v>
      </c>
      <c r="AQ78" s="94" t="s">
        <v>378</v>
      </c>
      <c r="AR78" s="27"/>
      <c r="AS78" s="39"/>
      <c r="AT78" s="73"/>
    </row>
    <row r="79" spans="2:46" x14ac:dyDescent="0.25">
      <c r="B79" s="25"/>
      <c r="C79" s="93" t="s">
        <v>376</v>
      </c>
      <c r="D79" s="644"/>
      <c r="E79" s="94" t="s">
        <v>377</v>
      </c>
      <c r="F79" s="27"/>
      <c r="G79" s="27"/>
      <c r="H79" s="73"/>
      <c r="K79" s="25"/>
      <c r="L79" s="93" t="s">
        <v>376</v>
      </c>
      <c r="M79" s="636"/>
      <c r="N79" s="94" t="s">
        <v>377</v>
      </c>
      <c r="O79" s="27"/>
      <c r="P79" s="27"/>
      <c r="Q79" s="73"/>
      <c r="T79" s="25"/>
      <c r="U79" s="93" t="s">
        <v>376</v>
      </c>
      <c r="V79" s="28">
        <f t="shared" si="1"/>
        <v>0</v>
      </c>
      <c r="W79" s="94" t="s">
        <v>377</v>
      </c>
      <c r="X79" s="27"/>
      <c r="Y79" s="39"/>
      <c r="Z79" s="73"/>
      <c r="AE79" s="25"/>
      <c r="AF79" s="93" t="s">
        <v>376</v>
      </c>
      <c r="AG79" s="145">
        <v>0</v>
      </c>
      <c r="AH79" s="94" t="s">
        <v>377</v>
      </c>
      <c r="AI79" s="27"/>
      <c r="AJ79" s="39"/>
      <c r="AK79" s="73"/>
      <c r="AL79" s="108"/>
      <c r="AN79" s="25"/>
      <c r="AO79" s="93" t="s">
        <v>376</v>
      </c>
      <c r="AP79" s="427">
        <v>0</v>
      </c>
      <c r="AQ79" s="94" t="s">
        <v>377</v>
      </c>
      <c r="AR79" s="27"/>
      <c r="AS79" s="39"/>
      <c r="AT79" s="73"/>
    </row>
    <row r="80" spans="2:46" x14ac:dyDescent="0.25">
      <c r="B80" s="25"/>
      <c r="C80" s="93" t="s">
        <v>375</v>
      </c>
      <c r="D80" s="644"/>
      <c r="E80" s="94" t="s">
        <v>377</v>
      </c>
      <c r="F80" s="27"/>
      <c r="G80" s="27"/>
      <c r="H80" s="73"/>
      <c r="K80" s="25"/>
      <c r="L80" s="93" t="s">
        <v>375</v>
      </c>
      <c r="M80" s="636"/>
      <c r="N80" s="94" t="s">
        <v>377</v>
      </c>
      <c r="O80" s="27"/>
      <c r="P80" s="27"/>
      <c r="Q80" s="73"/>
      <c r="T80" s="25"/>
      <c r="U80" s="93" t="s">
        <v>375</v>
      </c>
      <c r="V80" s="28">
        <f t="shared" si="1"/>
        <v>0</v>
      </c>
      <c r="W80" s="94" t="s">
        <v>377</v>
      </c>
      <c r="X80" s="27"/>
      <c r="Y80" s="39"/>
      <c r="Z80" s="73"/>
      <c r="AE80" s="25"/>
      <c r="AF80" s="93" t="s">
        <v>375</v>
      </c>
      <c r="AG80" s="145">
        <v>0</v>
      </c>
      <c r="AH80" s="94" t="s">
        <v>377</v>
      </c>
      <c r="AI80" s="27"/>
      <c r="AJ80" s="39"/>
      <c r="AK80" s="73"/>
      <c r="AL80" s="108"/>
      <c r="AN80" s="25"/>
      <c r="AO80" s="93" t="s">
        <v>375</v>
      </c>
      <c r="AP80" s="427">
        <v>0</v>
      </c>
      <c r="AQ80" s="94" t="s">
        <v>377</v>
      </c>
      <c r="AR80" s="27"/>
      <c r="AS80" s="39"/>
      <c r="AT80" s="73"/>
    </row>
    <row r="81" spans="2:46" x14ac:dyDescent="0.25">
      <c r="B81" s="25"/>
      <c r="C81" s="93" t="s">
        <v>372</v>
      </c>
      <c r="D81" s="644"/>
      <c r="E81" s="94" t="s">
        <v>377</v>
      </c>
      <c r="F81" s="27"/>
      <c r="G81" s="39"/>
      <c r="H81" s="73"/>
      <c r="K81" s="25"/>
      <c r="L81" s="93" t="s">
        <v>372</v>
      </c>
      <c r="M81" s="636"/>
      <c r="N81" s="94" t="s">
        <v>377</v>
      </c>
      <c r="O81" s="27"/>
      <c r="P81" s="39"/>
      <c r="Q81" s="73"/>
      <c r="T81" s="25"/>
      <c r="U81" s="93" t="s">
        <v>372</v>
      </c>
      <c r="V81" s="28">
        <f t="shared" si="1"/>
        <v>0</v>
      </c>
      <c r="W81" s="94" t="s">
        <v>377</v>
      </c>
      <c r="X81" s="27"/>
      <c r="Y81" s="39"/>
      <c r="Z81" s="73"/>
      <c r="AE81" s="25"/>
      <c r="AF81" s="93" t="s">
        <v>372</v>
      </c>
      <c r="AG81" s="145">
        <v>0</v>
      </c>
      <c r="AH81" s="94" t="s">
        <v>377</v>
      </c>
      <c r="AI81" s="27"/>
      <c r="AJ81" s="39"/>
      <c r="AK81" s="73"/>
      <c r="AL81" s="108"/>
      <c r="AN81" s="25"/>
      <c r="AO81" s="93" t="s">
        <v>372</v>
      </c>
      <c r="AP81" s="427">
        <v>0</v>
      </c>
      <c r="AQ81" s="94" t="s">
        <v>377</v>
      </c>
      <c r="AR81" s="27"/>
      <c r="AS81" s="39"/>
      <c r="AT81" s="73"/>
    </row>
    <row r="82" spans="2:46" x14ac:dyDescent="0.25">
      <c r="B82" s="25"/>
      <c r="C82" s="93" t="s">
        <v>373</v>
      </c>
      <c r="D82" s="644"/>
      <c r="E82" s="94" t="s">
        <v>377</v>
      </c>
      <c r="F82" s="27"/>
      <c r="G82" s="39"/>
      <c r="H82" s="73"/>
      <c r="K82" s="25"/>
      <c r="L82" s="93" t="s">
        <v>373</v>
      </c>
      <c r="M82" s="636"/>
      <c r="N82" s="94" t="s">
        <v>377</v>
      </c>
      <c r="O82" s="27"/>
      <c r="P82" s="39"/>
      <c r="Q82" s="73"/>
      <c r="T82" s="25"/>
      <c r="U82" s="93" t="s">
        <v>373</v>
      </c>
      <c r="V82" s="28">
        <f t="shared" si="1"/>
        <v>0</v>
      </c>
      <c r="W82" s="94" t="s">
        <v>377</v>
      </c>
      <c r="X82" s="27"/>
      <c r="Y82" s="39"/>
      <c r="Z82" s="73"/>
      <c r="AE82" s="25"/>
      <c r="AF82" s="93" t="s">
        <v>373</v>
      </c>
      <c r="AG82" s="145">
        <v>0</v>
      </c>
      <c r="AH82" s="94" t="s">
        <v>377</v>
      </c>
      <c r="AI82" s="27"/>
      <c r="AJ82" s="39"/>
      <c r="AK82" s="73"/>
      <c r="AL82" s="108"/>
      <c r="AN82" s="25"/>
      <c r="AO82" s="93" t="s">
        <v>373</v>
      </c>
      <c r="AP82" s="427">
        <v>0</v>
      </c>
      <c r="AQ82" s="94" t="s">
        <v>377</v>
      </c>
      <c r="AR82" s="27"/>
      <c r="AS82" s="39"/>
      <c r="AT82" s="73"/>
    </row>
    <row r="83" spans="2:46" x14ac:dyDescent="0.25">
      <c r="B83" s="25"/>
      <c r="C83" s="93" t="s">
        <v>374</v>
      </c>
      <c r="D83" s="644"/>
      <c r="E83" s="94" t="s">
        <v>377</v>
      </c>
      <c r="F83" s="27"/>
      <c r="G83" s="39"/>
      <c r="H83" s="73"/>
      <c r="K83" s="25"/>
      <c r="L83" s="93" t="s">
        <v>374</v>
      </c>
      <c r="M83" s="636"/>
      <c r="N83" s="94" t="s">
        <v>377</v>
      </c>
      <c r="O83" s="27"/>
      <c r="P83" s="39"/>
      <c r="Q83" s="73"/>
      <c r="T83" s="25"/>
      <c r="U83" s="93" t="s">
        <v>374</v>
      </c>
      <c r="V83" s="28">
        <f t="shared" si="1"/>
        <v>0</v>
      </c>
      <c r="W83" s="94" t="s">
        <v>377</v>
      </c>
      <c r="X83" s="27"/>
      <c r="Y83" s="39"/>
      <c r="Z83" s="73"/>
      <c r="AE83" s="25"/>
      <c r="AF83" s="93" t="s">
        <v>374</v>
      </c>
      <c r="AG83" s="145">
        <v>0</v>
      </c>
      <c r="AH83" s="94" t="s">
        <v>377</v>
      </c>
      <c r="AI83" s="27"/>
      <c r="AJ83" s="39"/>
      <c r="AK83" s="73"/>
      <c r="AL83" s="108"/>
      <c r="AN83" s="25"/>
      <c r="AO83" s="93" t="s">
        <v>374</v>
      </c>
      <c r="AP83" s="427">
        <v>0</v>
      </c>
      <c r="AQ83" s="94" t="s">
        <v>377</v>
      </c>
      <c r="AR83" s="27"/>
      <c r="AS83" s="39"/>
      <c r="AT83" s="73"/>
    </row>
    <row r="84" spans="2:46" ht="6" customHeight="1" x14ac:dyDescent="0.25">
      <c r="B84" s="25"/>
      <c r="C84" s="25"/>
      <c r="D84" s="25"/>
      <c r="E84" s="25"/>
      <c r="F84" s="25"/>
      <c r="G84" s="25"/>
      <c r="H84" s="25"/>
      <c r="K84" s="25"/>
      <c r="L84" s="25"/>
      <c r="M84" s="25"/>
      <c r="N84" s="25"/>
      <c r="O84" s="25"/>
      <c r="P84" s="25"/>
      <c r="Q84" s="25"/>
      <c r="T84" s="25"/>
      <c r="U84" s="25"/>
      <c r="V84" s="25"/>
      <c r="W84" s="25"/>
      <c r="X84" s="25"/>
      <c r="Y84" s="25"/>
      <c r="Z84" s="25"/>
      <c r="AE84" s="25"/>
      <c r="AF84" s="25"/>
      <c r="AG84" s="25"/>
      <c r="AH84" s="25"/>
      <c r="AI84" s="25"/>
      <c r="AJ84" s="25"/>
      <c r="AK84" s="25"/>
      <c r="AL84" s="108"/>
      <c r="AN84" s="25"/>
      <c r="AO84" s="25"/>
      <c r="AP84" s="25"/>
      <c r="AQ84" s="25"/>
      <c r="AR84" s="25"/>
      <c r="AS84" s="25"/>
      <c r="AT84" s="25"/>
    </row>
    <row r="85" spans="2:46" x14ac:dyDescent="0.25">
      <c r="B85" s="124"/>
      <c r="C85" s="124"/>
      <c r="D85" s="125"/>
      <c r="E85" s="124"/>
      <c r="F85" s="124"/>
      <c r="K85" s="124"/>
      <c r="L85" s="124"/>
      <c r="M85" s="125"/>
      <c r="N85" s="124"/>
      <c r="O85" s="124"/>
      <c r="T85" s="126"/>
      <c r="U85" s="126"/>
      <c r="V85" s="105"/>
      <c r="W85" s="126"/>
      <c r="X85" s="126"/>
      <c r="Y85" s="108"/>
      <c r="AE85" s="108"/>
      <c r="AF85" s="108"/>
      <c r="AG85" s="108"/>
      <c r="AH85" s="108"/>
      <c r="AI85" s="108"/>
      <c r="AJ85" s="108"/>
      <c r="AK85" s="108"/>
      <c r="AL85" s="108"/>
      <c r="AN85" s="108"/>
      <c r="AO85" s="108"/>
      <c r="AP85" s="108"/>
      <c r="AQ85" s="108"/>
      <c r="AR85" s="108"/>
      <c r="AS85" s="108"/>
      <c r="AT85" s="108"/>
    </row>
    <row r="86" spans="2:46" ht="18.75" x14ac:dyDescent="0.25">
      <c r="B86" s="732" t="s">
        <v>191</v>
      </c>
      <c r="C86" s="732"/>
      <c r="D86" s="732"/>
      <c r="E86" s="732"/>
      <c r="F86" s="732"/>
      <c r="G86" s="732"/>
      <c r="H86" s="732"/>
      <c r="K86" s="107"/>
      <c r="L86" s="127"/>
      <c r="M86" s="125"/>
      <c r="N86" s="124"/>
      <c r="O86" s="124"/>
      <c r="T86" s="128"/>
      <c r="U86" s="129"/>
      <c r="V86" s="105"/>
      <c r="W86" s="126"/>
      <c r="X86" s="126"/>
      <c r="Y86" s="108"/>
      <c r="AE86" s="108"/>
      <c r="AF86" s="108"/>
      <c r="AG86" s="108"/>
      <c r="AH86" s="108"/>
      <c r="AI86" s="108"/>
      <c r="AJ86" s="108"/>
      <c r="AK86" s="108"/>
      <c r="AL86" s="108"/>
      <c r="AN86" s="108"/>
      <c r="AO86" s="108"/>
      <c r="AP86" s="108"/>
      <c r="AQ86" s="108"/>
      <c r="AR86" s="108"/>
      <c r="AS86" s="108"/>
      <c r="AT86" s="108"/>
    </row>
    <row r="87" spans="2:46" ht="18.75" x14ac:dyDescent="0.25">
      <c r="B87" s="731" t="s">
        <v>383</v>
      </c>
      <c r="C87" s="731"/>
      <c r="D87" s="731"/>
      <c r="E87" s="731"/>
      <c r="F87" s="731"/>
      <c r="G87" s="731"/>
      <c r="H87" s="731"/>
      <c r="K87" s="107"/>
      <c r="L87" s="127"/>
      <c r="M87" s="125"/>
      <c r="N87" s="124"/>
      <c r="O87" s="124"/>
      <c r="T87" s="128"/>
      <c r="U87" s="129"/>
      <c r="V87" s="105"/>
      <c r="W87" s="126"/>
      <c r="X87" s="126"/>
      <c r="Y87" s="108"/>
      <c r="AE87" s="108"/>
      <c r="AF87" s="108"/>
      <c r="AG87" s="108"/>
      <c r="AH87" s="108"/>
      <c r="AI87" s="108"/>
      <c r="AJ87" s="108"/>
      <c r="AK87" s="108"/>
      <c r="AL87" s="108"/>
      <c r="AN87" s="108"/>
      <c r="AO87" s="108"/>
      <c r="AP87" s="108"/>
      <c r="AQ87" s="108"/>
      <c r="AR87" s="108"/>
      <c r="AS87" s="108"/>
      <c r="AT87" s="108"/>
    </row>
    <row r="88" spans="2:46" ht="15.75" x14ac:dyDescent="0.25">
      <c r="B88" s="25"/>
      <c r="C88" s="91" t="s">
        <v>732</v>
      </c>
      <c r="D88" s="644"/>
      <c r="E88" s="94" t="s">
        <v>353</v>
      </c>
      <c r="F88" s="27"/>
      <c r="G88" s="27"/>
      <c r="H88" s="73"/>
      <c r="K88" s="102"/>
      <c r="M88" s="45"/>
      <c r="N88" s="130"/>
      <c r="O88" s="126"/>
      <c r="P88" s="126"/>
      <c r="Q88" s="108"/>
      <c r="T88" s="130"/>
      <c r="U88" s="108"/>
      <c r="V88" s="669"/>
      <c r="W88" s="130"/>
      <c r="X88" s="126"/>
      <c r="Y88" s="126"/>
      <c r="AE88" s="108"/>
      <c r="AF88" s="108"/>
      <c r="AG88" s="108"/>
      <c r="AH88" s="108"/>
      <c r="AI88" s="108"/>
      <c r="AJ88" s="108"/>
      <c r="AK88" s="108"/>
      <c r="AL88" s="108"/>
      <c r="AN88" s="108"/>
      <c r="AO88" s="108"/>
      <c r="AP88" s="108"/>
      <c r="AQ88" s="108"/>
      <c r="AR88" s="108"/>
      <c r="AS88" s="108"/>
      <c r="AT88" s="108"/>
    </row>
    <row r="89" spans="2:46" ht="15.75" x14ac:dyDescent="0.25">
      <c r="B89" s="25"/>
      <c r="C89" s="91" t="s">
        <v>743</v>
      </c>
      <c r="D89" s="644"/>
      <c r="E89" s="94" t="s">
        <v>354</v>
      </c>
      <c r="F89" s="27"/>
      <c r="G89" s="27"/>
      <c r="H89" s="73"/>
      <c r="I89" s="111"/>
      <c r="K89" s="102"/>
      <c r="M89" s="45"/>
      <c r="N89" s="130"/>
      <c r="O89" s="126"/>
      <c r="P89" s="126"/>
      <c r="Q89" s="108"/>
      <c r="R89" s="111"/>
      <c r="T89" s="130"/>
      <c r="U89" s="108"/>
      <c r="V89" s="669"/>
      <c r="W89" s="130"/>
      <c r="X89" s="126"/>
      <c r="Y89" s="126"/>
      <c r="AE89" s="108"/>
      <c r="AF89" s="108"/>
      <c r="AG89" s="108"/>
      <c r="AH89" s="108"/>
      <c r="AI89" s="108"/>
      <c r="AJ89" s="108"/>
      <c r="AK89" s="108"/>
      <c r="AL89" s="108"/>
      <c r="AN89" s="108"/>
      <c r="AO89" s="108"/>
      <c r="AP89" s="108"/>
      <c r="AQ89" s="108"/>
      <c r="AR89" s="108"/>
      <c r="AS89" s="108"/>
      <c r="AT89" s="108"/>
    </row>
    <row r="90" spans="2:46" ht="15.75" x14ac:dyDescent="0.25">
      <c r="B90" s="25"/>
      <c r="C90" s="91" t="s">
        <v>744</v>
      </c>
      <c r="D90" s="644"/>
      <c r="E90" s="94" t="s">
        <v>599</v>
      </c>
      <c r="F90" s="91" t="s">
        <v>134</v>
      </c>
      <c r="G90" s="670"/>
      <c r="H90" s="73"/>
      <c r="I90" s="111"/>
      <c r="K90" s="102"/>
      <c r="M90" s="45"/>
      <c r="N90" s="130"/>
      <c r="O90" s="126"/>
      <c r="P90" s="126"/>
      <c r="Q90" s="108"/>
      <c r="R90" s="111"/>
      <c r="T90" s="130"/>
      <c r="U90" s="108"/>
      <c r="V90" s="669"/>
      <c r="W90" s="130"/>
      <c r="X90" s="126"/>
      <c r="Y90" s="126"/>
      <c r="AE90" s="108"/>
      <c r="AF90" s="108"/>
      <c r="AG90" s="108"/>
      <c r="AH90" s="108"/>
      <c r="AI90" s="108"/>
      <c r="AJ90" s="108"/>
      <c r="AK90" s="108"/>
      <c r="AL90" s="108"/>
      <c r="AN90" s="108"/>
      <c r="AO90" s="108"/>
      <c r="AP90" s="108"/>
      <c r="AQ90" s="108"/>
      <c r="AR90" s="108"/>
      <c r="AS90" s="108"/>
      <c r="AT90" s="108"/>
    </row>
    <row r="91" spans="2:46" ht="15.75" x14ac:dyDescent="0.25">
      <c r="B91" s="25"/>
      <c r="C91" s="91" t="s">
        <v>741</v>
      </c>
      <c r="D91" s="644"/>
      <c r="E91" s="94" t="s">
        <v>599</v>
      </c>
      <c r="F91" s="91" t="s">
        <v>134</v>
      </c>
      <c r="G91" s="670"/>
      <c r="H91" s="73"/>
      <c r="I91" s="111"/>
      <c r="K91" s="102"/>
      <c r="M91" s="45"/>
      <c r="N91" s="130"/>
      <c r="O91" s="126"/>
      <c r="P91" s="126"/>
      <c r="Q91" s="108"/>
      <c r="R91" s="111"/>
      <c r="T91" s="130"/>
      <c r="U91" s="108"/>
      <c r="V91" s="669"/>
      <c r="W91" s="130"/>
      <c r="X91" s="126"/>
      <c r="Y91" s="126"/>
      <c r="AE91" s="108"/>
      <c r="AF91" s="108"/>
      <c r="AG91" s="108"/>
      <c r="AH91" s="108"/>
      <c r="AI91" s="108"/>
      <c r="AJ91" s="108"/>
      <c r="AK91" s="108"/>
      <c r="AL91" s="108"/>
      <c r="AN91" s="108"/>
      <c r="AO91" s="108"/>
      <c r="AP91" s="108"/>
      <c r="AQ91" s="108"/>
      <c r="AR91" s="108"/>
      <c r="AS91" s="108"/>
      <c r="AT91" s="108"/>
    </row>
    <row r="92" spans="2:46" ht="15.75" x14ac:dyDescent="0.25">
      <c r="B92" s="25"/>
      <c r="C92" s="91" t="s">
        <v>600</v>
      </c>
      <c r="D92" s="644"/>
      <c r="E92" s="94" t="s">
        <v>258</v>
      </c>
      <c r="F92" s="27"/>
      <c r="G92" s="27"/>
      <c r="H92" s="73"/>
      <c r="I92" s="111"/>
      <c r="K92" s="102"/>
      <c r="M92" s="45"/>
      <c r="N92" s="130"/>
      <c r="O92" s="126"/>
      <c r="P92" s="126"/>
      <c r="Q92" s="108"/>
      <c r="R92" s="111"/>
      <c r="T92" s="130"/>
      <c r="U92" s="108"/>
      <c r="V92" s="669"/>
      <c r="W92" s="130"/>
      <c r="X92" s="126"/>
      <c r="Y92" s="126"/>
      <c r="AE92" s="108"/>
      <c r="AF92" s="108"/>
      <c r="AG92" s="108"/>
      <c r="AH92" s="108"/>
      <c r="AI92" s="108"/>
      <c r="AJ92" s="108"/>
      <c r="AK92" s="108"/>
      <c r="AL92" s="108"/>
      <c r="AN92" s="108"/>
      <c r="AO92" s="108"/>
      <c r="AP92" s="108"/>
      <c r="AQ92" s="108"/>
      <c r="AR92" s="108"/>
      <c r="AS92" s="108"/>
      <c r="AT92" s="108"/>
    </row>
    <row r="93" spans="2:46" ht="15.75" x14ac:dyDescent="0.25">
      <c r="B93" s="25"/>
      <c r="C93" s="91" t="s">
        <v>742</v>
      </c>
      <c r="D93" s="644"/>
      <c r="E93" s="94" t="s">
        <v>354</v>
      </c>
      <c r="F93" s="27"/>
      <c r="G93" s="27"/>
      <c r="H93" s="73"/>
      <c r="I93" s="111"/>
      <c r="K93" s="102"/>
      <c r="M93" s="45"/>
      <c r="N93" s="130"/>
      <c r="O93" s="126"/>
      <c r="P93" s="126"/>
      <c r="Q93" s="108"/>
      <c r="R93" s="111"/>
      <c r="T93" s="130"/>
      <c r="U93" s="108"/>
      <c r="V93" s="669"/>
      <c r="W93" s="130"/>
      <c r="X93" s="126"/>
      <c r="Y93" s="126"/>
      <c r="AE93" s="108"/>
      <c r="AF93" s="108"/>
      <c r="AG93" s="108"/>
      <c r="AH93" s="108"/>
      <c r="AI93" s="108"/>
      <c r="AJ93" s="108"/>
      <c r="AK93" s="108"/>
      <c r="AL93" s="108"/>
      <c r="AN93" s="108"/>
      <c r="AO93" s="108"/>
      <c r="AP93" s="108"/>
      <c r="AQ93" s="108"/>
      <c r="AR93" s="108"/>
      <c r="AS93" s="108"/>
      <c r="AT93" s="108"/>
    </row>
    <row r="94" spans="2:46" ht="15.75" x14ac:dyDescent="0.25">
      <c r="B94" s="25"/>
      <c r="C94" s="91" t="s">
        <v>601</v>
      </c>
      <c r="D94" s="644"/>
      <c r="E94" s="94" t="s">
        <v>258</v>
      </c>
      <c r="F94" s="27"/>
      <c r="G94" s="27"/>
      <c r="H94" s="73"/>
      <c r="I94" s="111"/>
      <c r="K94" s="102"/>
      <c r="M94" s="45"/>
      <c r="N94" s="130"/>
      <c r="O94" s="126"/>
      <c r="P94" s="126"/>
      <c r="Q94" s="108"/>
      <c r="R94" s="111"/>
      <c r="T94" s="130"/>
      <c r="U94" s="108"/>
      <c r="V94" s="669"/>
      <c r="W94" s="130"/>
      <c r="X94" s="126"/>
      <c r="Y94" s="126"/>
      <c r="AE94" s="108"/>
      <c r="AF94" s="108"/>
      <c r="AG94" s="108"/>
      <c r="AH94" s="108"/>
      <c r="AI94" s="108"/>
      <c r="AJ94" s="108"/>
      <c r="AK94" s="108"/>
      <c r="AL94" s="108"/>
      <c r="AN94" s="108"/>
      <c r="AO94" s="108"/>
      <c r="AP94" s="108"/>
      <c r="AQ94" s="108"/>
      <c r="AR94" s="108"/>
      <c r="AS94" s="108"/>
      <c r="AT94" s="108"/>
    </row>
    <row r="95" spans="2:46" ht="15.75" x14ac:dyDescent="0.25">
      <c r="B95" s="25"/>
      <c r="C95" s="91" t="s">
        <v>385</v>
      </c>
      <c r="D95" s="644"/>
      <c r="E95" s="94" t="s">
        <v>363</v>
      </c>
      <c r="F95" s="27"/>
      <c r="G95" s="27"/>
      <c r="H95" s="73"/>
      <c r="I95" s="111"/>
      <c r="K95" s="102"/>
      <c r="M95" s="45"/>
      <c r="N95" s="130"/>
      <c r="O95" s="126"/>
      <c r="P95" s="126"/>
      <c r="Q95" s="108"/>
      <c r="T95" s="130"/>
      <c r="U95" s="108"/>
      <c r="V95" s="669"/>
      <c r="W95" s="130"/>
      <c r="X95" s="126"/>
      <c r="Y95" s="126"/>
      <c r="AE95" s="108"/>
      <c r="AF95" s="108"/>
      <c r="AG95" s="108"/>
      <c r="AH95" s="108"/>
      <c r="AI95" s="108"/>
      <c r="AJ95" s="108"/>
      <c r="AK95" s="108"/>
      <c r="AL95" s="108"/>
      <c r="AN95" s="108"/>
      <c r="AO95" s="108"/>
      <c r="AP95" s="108"/>
      <c r="AQ95" s="108"/>
      <c r="AR95" s="108"/>
      <c r="AS95" s="108"/>
      <c r="AT95" s="108"/>
    </row>
    <row r="96" spans="2:46" ht="15.75" x14ac:dyDescent="0.25">
      <c r="B96" s="25"/>
      <c r="C96" s="91" t="s">
        <v>384</v>
      </c>
      <c r="D96" s="644"/>
      <c r="E96" s="94" t="s">
        <v>363</v>
      </c>
      <c r="F96" s="27"/>
      <c r="G96" s="27"/>
      <c r="H96" s="73"/>
      <c r="I96" s="111"/>
      <c r="K96" s="102"/>
      <c r="M96" s="45"/>
      <c r="N96" s="130"/>
      <c r="O96" s="126"/>
      <c r="P96" s="126"/>
      <c r="Q96" s="108"/>
      <c r="T96" s="130"/>
      <c r="U96" s="108"/>
      <c r="V96" s="669"/>
      <c r="W96" s="130"/>
      <c r="X96" s="126"/>
      <c r="Y96" s="126"/>
      <c r="AE96" s="108"/>
      <c r="AF96" s="108"/>
      <c r="AG96" s="108"/>
      <c r="AH96" s="108"/>
      <c r="AI96" s="108"/>
      <c r="AJ96" s="108"/>
      <c r="AK96" s="108"/>
      <c r="AL96" s="108"/>
      <c r="AN96" s="108"/>
      <c r="AO96" s="108"/>
      <c r="AP96" s="108"/>
      <c r="AQ96" s="108"/>
      <c r="AR96" s="108"/>
      <c r="AS96" s="108"/>
      <c r="AT96" s="108"/>
    </row>
    <row r="97" spans="2:46" ht="15.75" x14ac:dyDescent="0.25">
      <c r="B97" s="25"/>
      <c r="C97" s="91" t="s">
        <v>386</v>
      </c>
      <c r="D97" s="644"/>
      <c r="E97" s="94" t="s">
        <v>358</v>
      </c>
      <c r="F97" s="27"/>
      <c r="G97" s="27"/>
      <c r="H97" s="73"/>
      <c r="I97" s="111"/>
      <c r="K97" s="102"/>
      <c r="M97" s="45"/>
      <c r="N97" s="130"/>
      <c r="O97" s="126"/>
      <c r="P97" s="126"/>
      <c r="Q97" s="108"/>
      <c r="T97" s="130"/>
      <c r="U97" s="108"/>
      <c r="V97" s="669"/>
      <c r="W97" s="130"/>
      <c r="X97" s="126"/>
      <c r="Y97" s="126"/>
      <c r="AE97" s="108"/>
      <c r="AF97" s="108"/>
      <c r="AG97" s="108"/>
      <c r="AH97" s="108"/>
      <c r="AI97" s="108"/>
      <c r="AJ97" s="108"/>
      <c r="AK97" s="108"/>
      <c r="AL97" s="108"/>
      <c r="AN97" s="108"/>
      <c r="AO97" s="108"/>
      <c r="AP97" s="108"/>
      <c r="AQ97" s="108"/>
      <c r="AR97" s="108"/>
      <c r="AS97" s="108"/>
      <c r="AT97" s="108"/>
    </row>
    <row r="98" spans="2:46" ht="15.75" x14ac:dyDescent="0.25">
      <c r="B98" s="25"/>
      <c r="C98" s="91" t="s">
        <v>387</v>
      </c>
      <c r="D98" s="644"/>
      <c r="E98" s="94" t="s">
        <v>377</v>
      </c>
      <c r="F98" s="27"/>
      <c r="G98" s="27"/>
      <c r="H98" s="73"/>
      <c r="I98" s="111"/>
      <c r="K98" s="102"/>
      <c r="M98" s="45"/>
      <c r="N98" s="130"/>
      <c r="O98" s="126"/>
      <c r="P98" s="126"/>
      <c r="Q98" s="108"/>
      <c r="T98" s="130"/>
      <c r="U98" s="108"/>
      <c r="V98" s="669"/>
      <c r="W98" s="130"/>
      <c r="X98" s="126"/>
      <c r="Y98" s="126"/>
      <c r="AE98" s="108"/>
      <c r="AF98" s="108"/>
      <c r="AG98" s="108"/>
      <c r="AH98" s="108"/>
      <c r="AI98" s="108"/>
      <c r="AJ98" s="108"/>
      <c r="AK98" s="108"/>
      <c r="AL98" s="108"/>
      <c r="AN98" s="108"/>
      <c r="AO98" s="108"/>
      <c r="AP98" s="108"/>
      <c r="AQ98" s="108"/>
      <c r="AR98" s="108"/>
      <c r="AS98" s="108"/>
      <c r="AT98" s="108"/>
    </row>
    <row r="99" spans="2:46" ht="15.75" x14ac:dyDescent="0.25">
      <c r="B99" s="25"/>
      <c r="C99" s="91" t="s">
        <v>388</v>
      </c>
      <c r="D99" s="644"/>
      <c r="E99" s="94" t="s">
        <v>358</v>
      </c>
      <c r="F99" s="91" t="s">
        <v>134</v>
      </c>
      <c r="G99" s="670"/>
      <c r="H99" s="73"/>
      <c r="I99" s="111"/>
      <c r="K99" s="102"/>
      <c r="M99" s="45"/>
      <c r="N99" s="130"/>
      <c r="O99" s="105"/>
      <c r="P99" s="132"/>
      <c r="Q99" s="108"/>
      <c r="T99" s="130"/>
      <c r="U99" s="108"/>
      <c r="V99" s="669"/>
      <c r="W99" s="130"/>
      <c r="X99" s="105"/>
      <c r="Y99" s="132"/>
      <c r="AE99" s="108"/>
      <c r="AF99" s="108"/>
      <c r="AG99" s="108"/>
      <c r="AH99" s="108"/>
      <c r="AI99" s="108"/>
      <c r="AJ99" s="108"/>
      <c r="AK99" s="108"/>
      <c r="AL99" s="108"/>
      <c r="AN99" s="108"/>
      <c r="AO99" s="108"/>
      <c r="AP99" s="108"/>
      <c r="AQ99" s="108"/>
      <c r="AR99" s="108"/>
      <c r="AS99" s="108"/>
      <c r="AT99" s="108"/>
    </row>
    <row r="100" spans="2:46" ht="6" customHeight="1" x14ac:dyDescent="0.25">
      <c r="B100" s="25"/>
      <c r="C100" s="73"/>
      <c r="D100" s="73"/>
      <c r="E100" s="29"/>
      <c r="F100" s="26"/>
      <c r="G100" s="26"/>
      <c r="H100" s="73"/>
      <c r="K100" s="102"/>
      <c r="M100" s="45"/>
      <c r="N100" s="130"/>
      <c r="O100" s="105"/>
      <c r="P100" s="132"/>
      <c r="Q100" s="108"/>
      <c r="T100" s="130"/>
      <c r="U100" s="108"/>
      <c r="V100" s="669"/>
      <c r="W100" s="130"/>
      <c r="X100" s="105"/>
      <c r="Y100" s="132"/>
      <c r="AE100" s="108"/>
      <c r="AF100" s="108"/>
      <c r="AG100" s="108"/>
      <c r="AH100" s="108"/>
      <c r="AI100" s="108"/>
      <c r="AJ100" s="108"/>
      <c r="AK100" s="108"/>
      <c r="AL100" s="108"/>
      <c r="AN100" s="108"/>
      <c r="AO100" s="108"/>
      <c r="AP100" s="108"/>
      <c r="AQ100" s="108"/>
      <c r="AR100" s="108"/>
      <c r="AS100" s="108"/>
      <c r="AT100" s="108"/>
    </row>
    <row r="101" spans="2:46" ht="15.75" x14ac:dyDescent="0.25">
      <c r="B101" s="731" t="s">
        <v>8</v>
      </c>
      <c r="C101" s="731"/>
      <c r="D101" s="731"/>
      <c r="E101" s="731"/>
      <c r="F101" s="731"/>
      <c r="G101" s="731"/>
      <c r="H101" s="731"/>
      <c r="K101" s="102"/>
      <c r="M101" s="45"/>
      <c r="N101" s="130"/>
      <c r="O101" s="105"/>
      <c r="P101" s="132"/>
      <c r="Q101" s="108"/>
      <c r="T101" s="130"/>
      <c r="U101" s="108"/>
      <c r="V101" s="669"/>
      <c r="W101" s="130"/>
      <c r="X101" s="105"/>
      <c r="Y101" s="132"/>
      <c r="AE101" s="108"/>
      <c r="AF101" s="108"/>
      <c r="AG101" s="108"/>
      <c r="AH101" s="108"/>
      <c r="AI101" s="108"/>
      <c r="AJ101" s="108"/>
      <c r="AK101" s="108"/>
      <c r="AL101" s="108"/>
      <c r="AN101" s="108"/>
      <c r="AO101" s="108"/>
      <c r="AP101" s="108"/>
      <c r="AQ101" s="108"/>
      <c r="AR101" s="108"/>
      <c r="AS101" s="108"/>
      <c r="AT101" s="108"/>
    </row>
    <row r="102" spans="2:46" ht="15.75" x14ac:dyDescent="0.25">
      <c r="B102" s="25"/>
      <c r="C102" s="91" t="s">
        <v>162</v>
      </c>
      <c r="D102" s="644"/>
      <c r="E102" s="94" t="s">
        <v>358</v>
      </c>
      <c r="F102" s="26"/>
      <c r="G102" s="26"/>
      <c r="H102" s="73"/>
      <c r="K102" s="102"/>
      <c r="M102" s="45"/>
      <c r="N102" s="130"/>
      <c r="O102" s="105"/>
      <c r="P102" s="132"/>
      <c r="Q102" s="108"/>
      <c r="T102" s="130"/>
      <c r="U102" s="108"/>
      <c r="V102" s="669"/>
      <c r="W102" s="130"/>
      <c r="X102" s="105"/>
      <c r="Y102" s="132"/>
      <c r="AE102" s="108"/>
      <c r="AF102" s="108"/>
      <c r="AG102" s="108"/>
      <c r="AH102" s="108"/>
      <c r="AI102" s="108"/>
      <c r="AJ102" s="108"/>
      <c r="AK102" s="108"/>
      <c r="AL102" s="108"/>
      <c r="AN102" s="108"/>
      <c r="AO102" s="108"/>
      <c r="AP102" s="108"/>
      <c r="AQ102" s="108"/>
      <c r="AR102" s="108"/>
      <c r="AS102" s="108"/>
      <c r="AT102" s="108"/>
    </row>
    <row r="103" spans="2:46" ht="15.75" x14ac:dyDescent="0.25">
      <c r="B103" s="25"/>
      <c r="C103" s="91" t="s">
        <v>22</v>
      </c>
      <c r="D103" s="644"/>
      <c r="E103" s="94" t="s">
        <v>358</v>
      </c>
      <c r="F103" s="26"/>
      <c r="G103" s="26"/>
      <c r="H103" s="73"/>
      <c r="K103" s="102"/>
      <c r="M103" s="45"/>
      <c r="N103" s="130"/>
      <c r="O103" s="105"/>
      <c r="P103" s="132"/>
      <c r="Q103" s="108"/>
      <c r="T103" s="130"/>
      <c r="U103" s="108"/>
      <c r="V103" s="669"/>
      <c r="W103" s="130"/>
      <c r="X103" s="105"/>
      <c r="Y103" s="132"/>
      <c r="AE103" s="108"/>
      <c r="AF103" s="108"/>
      <c r="AG103" s="108"/>
      <c r="AH103" s="108"/>
      <c r="AI103" s="108"/>
      <c r="AJ103" s="108"/>
      <c r="AK103" s="108"/>
      <c r="AL103" s="108"/>
      <c r="AN103" s="108"/>
      <c r="AO103" s="108"/>
      <c r="AP103" s="108"/>
      <c r="AQ103" s="108"/>
      <c r="AR103" s="108"/>
      <c r="AS103" s="108"/>
      <c r="AT103" s="108"/>
    </row>
    <row r="104" spans="2:46" ht="15.75" x14ac:dyDescent="0.25">
      <c r="B104" s="25"/>
      <c r="C104" s="91" t="s">
        <v>176</v>
      </c>
      <c r="D104" s="644"/>
      <c r="E104" s="94" t="s">
        <v>358</v>
      </c>
      <c r="F104" s="26"/>
      <c r="G104" s="26"/>
      <c r="H104" s="73"/>
      <c r="K104" s="102"/>
      <c r="M104" s="45"/>
      <c r="N104" s="130"/>
      <c r="O104" s="105"/>
      <c r="P104" s="132"/>
      <c r="Q104" s="108"/>
      <c r="T104" s="130"/>
      <c r="U104" s="108"/>
      <c r="V104" s="669"/>
      <c r="W104" s="130"/>
      <c r="X104" s="105"/>
      <c r="Y104" s="132"/>
      <c r="AE104" s="108"/>
      <c r="AF104" s="108"/>
      <c r="AG104" s="108"/>
      <c r="AH104" s="108"/>
      <c r="AI104" s="108"/>
      <c r="AJ104" s="108"/>
      <c r="AK104" s="108"/>
      <c r="AL104" s="108"/>
      <c r="AN104" s="108"/>
      <c r="AO104" s="108"/>
      <c r="AP104" s="108"/>
      <c r="AQ104" s="108"/>
      <c r="AR104" s="108"/>
      <c r="AS104" s="108"/>
      <c r="AT104" s="108"/>
    </row>
    <row r="105" spans="2:46" ht="15.75" x14ac:dyDescent="0.25">
      <c r="B105" s="25"/>
      <c r="C105" s="91" t="s">
        <v>85</v>
      </c>
      <c r="D105" s="644"/>
      <c r="E105" s="94" t="s">
        <v>358</v>
      </c>
      <c r="F105" s="26"/>
      <c r="G105" s="26"/>
      <c r="H105" s="73"/>
      <c r="K105" s="102"/>
      <c r="M105" s="45"/>
      <c r="N105" s="130"/>
      <c r="O105" s="105"/>
      <c r="P105" s="132"/>
      <c r="Q105" s="108"/>
      <c r="T105" s="130"/>
      <c r="U105" s="108"/>
      <c r="V105" s="669"/>
      <c r="W105" s="130"/>
      <c r="X105" s="105"/>
      <c r="Y105" s="132"/>
      <c r="AE105" s="108"/>
      <c r="AF105" s="108"/>
      <c r="AG105" s="108"/>
      <c r="AH105" s="108"/>
      <c r="AI105" s="108"/>
      <c r="AJ105" s="108"/>
      <c r="AK105" s="108"/>
      <c r="AL105" s="108"/>
      <c r="AN105" s="108"/>
      <c r="AO105" s="108"/>
      <c r="AP105" s="108"/>
      <c r="AQ105" s="108"/>
      <c r="AR105" s="108"/>
      <c r="AS105" s="108"/>
      <c r="AT105" s="108"/>
    </row>
    <row r="106" spans="2:46" ht="6" customHeight="1" x14ac:dyDescent="0.25">
      <c r="B106" s="25"/>
      <c r="C106" s="73"/>
      <c r="D106" s="73"/>
      <c r="E106" s="29"/>
      <c r="F106" s="26"/>
      <c r="G106" s="26"/>
      <c r="H106" s="73"/>
      <c r="K106" s="102"/>
      <c r="M106" s="45"/>
      <c r="N106" s="130"/>
      <c r="O106" s="105"/>
      <c r="P106" s="132"/>
      <c r="Q106" s="108"/>
      <c r="T106" s="130"/>
      <c r="U106" s="108"/>
      <c r="V106" s="669"/>
      <c r="W106" s="130"/>
      <c r="X106" s="105"/>
      <c r="Y106" s="132"/>
      <c r="AE106" s="108"/>
      <c r="AF106" s="108"/>
      <c r="AG106" s="108"/>
      <c r="AH106" s="108"/>
      <c r="AI106" s="108"/>
      <c r="AJ106" s="108"/>
      <c r="AK106" s="108"/>
      <c r="AL106" s="108"/>
      <c r="AN106" s="108"/>
      <c r="AO106" s="108"/>
      <c r="AP106" s="108"/>
      <c r="AQ106" s="108"/>
      <c r="AR106" s="108"/>
      <c r="AS106" s="108"/>
      <c r="AT106" s="108"/>
    </row>
    <row r="107" spans="2:46" ht="15.75" x14ac:dyDescent="0.25">
      <c r="B107" s="731" t="s">
        <v>243</v>
      </c>
      <c r="C107" s="731"/>
      <c r="D107" s="731"/>
      <c r="E107" s="731"/>
      <c r="F107" s="731"/>
      <c r="G107" s="731"/>
      <c r="H107" s="731"/>
      <c r="K107" s="133"/>
      <c r="M107" s="134"/>
      <c r="N107" s="135"/>
      <c r="O107" s="135"/>
      <c r="P107" s="135"/>
      <c r="Q107" s="108"/>
      <c r="T107" s="136"/>
      <c r="U107" s="108"/>
      <c r="V107" s="134"/>
      <c r="W107" s="135"/>
      <c r="X107" s="135"/>
      <c r="Y107" s="135"/>
      <c r="AE107" s="108"/>
      <c r="AF107" s="108"/>
      <c r="AG107" s="108"/>
      <c r="AH107" s="108"/>
      <c r="AI107" s="108"/>
      <c r="AJ107" s="108"/>
      <c r="AK107" s="108"/>
      <c r="AL107" s="108"/>
      <c r="AN107" s="108"/>
      <c r="AO107" s="108"/>
      <c r="AP107" s="108"/>
      <c r="AQ107" s="108"/>
      <c r="AR107" s="108"/>
      <c r="AS107" s="108"/>
      <c r="AT107" s="108"/>
    </row>
    <row r="108" spans="2:46" ht="15.75" x14ac:dyDescent="0.25">
      <c r="B108" s="54"/>
      <c r="C108" s="730" t="s">
        <v>391</v>
      </c>
      <c r="D108" s="730"/>
      <c r="E108" s="730"/>
      <c r="F108" s="26"/>
      <c r="G108" s="43"/>
      <c r="H108" s="73"/>
      <c r="K108" s="133"/>
      <c r="M108" s="134"/>
      <c r="N108" s="135"/>
      <c r="O108" s="135"/>
      <c r="P108" s="135"/>
      <c r="Q108" s="108"/>
      <c r="T108" s="136"/>
      <c r="U108" s="108"/>
      <c r="V108" s="134"/>
      <c r="W108" s="135"/>
      <c r="X108" s="135"/>
      <c r="Y108" s="135"/>
      <c r="AE108" s="108"/>
      <c r="AF108" s="108"/>
      <c r="AG108" s="108"/>
      <c r="AH108" s="108"/>
      <c r="AI108" s="108"/>
      <c r="AJ108" s="108"/>
      <c r="AK108" s="108"/>
      <c r="AL108" s="108"/>
      <c r="AN108" s="108"/>
      <c r="AO108" s="108"/>
      <c r="AP108" s="108"/>
      <c r="AQ108" s="108"/>
      <c r="AR108" s="108"/>
      <c r="AS108" s="108"/>
      <c r="AT108" s="108"/>
    </row>
    <row r="109" spans="2:46" ht="15.75" x14ac:dyDescent="0.25">
      <c r="B109" s="54"/>
      <c r="C109" s="91" t="s">
        <v>392</v>
      </c>
      <c r="D109" s="644"/>
      <c r="E109" s="94" t="s">
        <v>358</v>
      </c>
      <c r="F109" s="26"/>
      <c r="G109" s="43"/>
      <c r="H109" s="73"/>
      <c r="K109" s="137"/>
      <c r="M109" s="45"/>
      <c r="N109" s="138"/>
      <c r="O109" s="105"/>
      <c r="P109" s="132"/>
      <c r="Q109" s="108"/>
      <c r="T109" s="139"/>
      <c r="U109" s="108"/>
      <c r="V109" s="45"/>
      <c r="W109" s="138"/>
      <c r="X109" s="105"/>
      <c r="Y109" s="132"/>
      <c r="AE109" s="108"/>
      <c r="AF109" s="108"/>
      <c r="AG109" s="108"/>
      <c r="AH109" s="108"/>
      <c r="AI109" s="108"/>
      <c r="AJ109" s="108"/>
      <c r="AK109" s="108"/>
      <c r="AL109" s="108"/>
      <c r="AN109" s="108"/>
      <c r="AO109" s="108"/>
      <c r="AP109" s="108"/>
      <c r="AQ109" s="108"/>
      <c r="AR109" s="108"/>
      <c r="AS109" s="108"/>
      <c r="AT109" s="108"/>
    </row>
    <row r="110" spans="2:46" ht="15.75" x14ac:dyDescent="0.25">
      <c r="B110" s="73"/>
      <c r="C110" s="91" t="s">
        <v>134</v>
      </c>
      <c r="D110" s="670"/>
      <c r="E110" s="25"/>
      <c r="F110" s="26"/>
      <c r="G110" s="43"/>
      <c r="H110" s="73"/>
      <c r="K110" s="137"/>
      <c r="M110" s="45"/>
      <c r="N110" s="138"/>
      <c r="O110" s="105"/>
      <c r="P110" s="132"/>
      <c r="Q110" s="108"/>
      <c r="T110" s="139"/>
      <c r="U110" s="108"/>
      <c r="V110" s="45"/>
      <c r="W110" s="138"/>
      <c r="X110" s="105"/>
      <c r="Y110" s="132"/>
      <c r="AE110" s="108"/>
      <c r="AF110" s="108"/>
      <c r="AG110" s="108"/>
      <c r="AH110" s="108"/>
      <c r="AI110" s="108"/>
      <c r="AJ110" s="108"/>
      <c r="AK110" s="108"/>
      <c r="AL110" s="108"/>
      <c r="AN110" s="108"/>
      <c r="AO110" s="108"/>
      <c r="AP110" s="108"/>
      <c r="AQ110" s="108"/>
      <c r="AR110" s="108"/>
      <c r="AS110" s="108"/>
      <c r="AT110" s="108"/>
    </row>
    <row r="111" spans="2:46" ht="6" customHeight="1" x14ac:dyDescent="0.25">
      <c r="B111" s="156"/>
      <c r="C111" s="125"/>
      <c r="D111" s="132"/>
      <c r="E111" s="75"/>
      <c r="F111" s="38"/>
      <c r="G111" s="132"/>
      <c r="K111" s="137"/>
      <c r="M111" s="45"/>
      <c r="N111" s="138"/>
      <c r="O111" s="105"/>
      <c r="P111" s="132"/>
      <c r="Q111" s="108"/>
      <c r="T111" s="139"/>
      <c r="U111" s="108"/>
      <c r="V111" s="45"/>
      <c r="W111" s="138"/>
      <c r="X111" s="105"/>
      <c r="Y111" s="132"/>
      <c r="AE111" s="108"/>
      <c r="AF111" s="108"/>
      <c r="AG111" s="108"/>
      <c r="AH111" s="108"/>
      <c r="AI111" s="108"/>
      <c r="AJ111" s="108"/>
      <c r="AK111" s="108"/>
      <c r="AL111" s="108"/>
      <c r="AN111" s="108"/>
      <c r="AO111" s="108"/>
      <c r="AP111" s="108"/>
      <c r="AQ111" s="108"/>
      <c r="AR111" s="108"/>
      <c r="AS111" s="108"/>
      <c r="AT111" s="108"/>
    </row>
    <row r="112" spans="2:46" ht="15.75" x14ac:dyDescent="0.25">
      <c r="B112" s="54"/>
      <c r="C112" s="730" t="s">
        <v>390</v>
      </c>
      <c r="D112" s="730"/>
      <c r="E112" s="730"/>
      <c r="F112" s="26"/>
      <c r="G112" s="43"/>
      <c r="H112" s="73"/>
      <c r="K112" s="137"/>
      <c r="M112" s="45"/>
      <c r="N112" s="138"/>
      <c r="O112" s="105"/>
      <c r="P112" s="132"/>
      <c r="Q112" s="108"/>
      <c r="T112" s="139"/>
      <c r="U112" s="108"/>
      <c r="V112" s="45"/>
      <c r="W112" s="138"/>
      <c r="X112" s="105"/>
      <c r="Y112" s="132"/>
      <c r="AE112" s="108"/>
      <c r="AF112" s="108"/>
      <c r="AG112" s="108"/>
      <c r="AH112" s="108"/>
      <c r="AI112" s="108"/>
      <c r="AJ112" s="108"/>
      <c r="AK112" s="108"/>
      <c r="AL112" s="108"/>
      <c r="AN112" s="108"/>
      <c r="AO112" s="108"/>
      <c r="AP112" s="108"/>
      <c r="AQ112" s="108"/>
      <c r="AR112" s="108"/>
      <c r="AS112" s="108"/>
      <c r="AT112" s="108"/>
    </row>
    <row r="113" spans="2:46" ht="15.75" x14ac:dyDescent="0.25">
      <c r="B113" s="26"/>
      <c r="C113" s="91" t="s">
        <v>392</v>
      </c>
      <c r="D113" s="644"/>
      <c r="E113" s="94" t="s">
        <v>358</v>
      </c>
      <c r="F113" s="26"/>
      <c r="G113" s="43"/>
      <c r="H113" s="73"/>
      <c r="K113" s="137"/>
      <c r="M113" s="45"/>
      <c r="N113" s="138"/>
      <c r="O113" s="105"/>
      <c r="P113" s="132"/>
      <c r="Q113" s="108"/>
      <c r="T113" s="139"/>
      <c r="U113" s="108"/>
      <c r="V113" s="45"/>
      <c r="W113" s="138"/>
      <c r="X113" s="105"/>
      <c r="Y113" s="132"/>
      <c r="AE113" s="108"/>
      <c r="AF113" s="108"/>
      <c r="AG113" s="108"/>
      <c r="AH113" s="108"/>
      <c r="AI113" s="108"/>
      <c r="AJ113" s="108"/>
      <c r="AK113" s="108"/>
      <c r="AL113" s="108"/>
      <c r="AN113" s="108"/>
      <c r="AO113" s="108"/>
      <c r="AP113" s="108"/>
      <c r="AQ113" s="108"/>
      <c r="AR113" s="108"/>
      <c r="AS113" s="108"/>
      <c r="AT113" s="108"/>
    </row>
    <row r="114" spans="2:46" ht="15.75" x14ac:dyDescent="0.25">
      <c r="B114" s="73"/>
      <c r="C114" s="91" t="s">
        <v>134</v>
      </c>
      <c r="D114" s="670"/>
      <c r="E114" s="25"/>
      <c r="F114" s="26"/>
      <c r="G114" s="43"/>
      <c r="H114" s="73"/>
      <c r="K114" s="137"/>
      <c r="M114" s="45"/>
      <c r="N114" s="138"/>
      <c r="O114" s="105"/>
      <c r="P114" s="132"/>
      <c r="Q114" s="108"/>
      <c r="T114" s="139"/>
      <c r="U114" s="108"/>
      <c r="V114" s="45"/>
      <c r="W114" s="138"/>
      <c r="X114" s="105"/>
      <c r="Y114" s="132"/>
      <c r="AE114" s="108"/>
      <c r="AF114" s="108"/>
      <c r="AG114" s="108"/>
      <c r="AH114" s="108"/>
      <c r="AI114" s="108"/>
      <c r="AJ114" s="108"/>
      <c r="AK114" s="108"/>
      <c r="AL114" s="108"/>
      <c r="AN114" s="108"/>
      <c r="AO114" s="108"/>
      <c r="AP114" s="108"/>
      <c r="AQ114" s="108"/>
      <c r="AR114" s="108"/>
      <c r="AS114" s="108"/>
      <c r="AT114" s="108"/>
    </row>
    <row r="115" spans="2:46" ht="6" customHeight="1" x14ac:dyDescent="0.25">
      <c r="B115" s="156"/>
      <c r="C115" s="125"/>
      <c r="D115" s="132"/>
      <c r="E115" s="75"/>
      <c r="F115" s="38"/>
      <c r="G115" s="132"/>
      <c r="K115" s="137"/>
      <c r="M115" s="45"/>
      <c r="N115" s="138"/>
      <c r="O115" s="105"/>
      <c r="P115" s="132"/>
      <c r="Q115" s="108"/>
      <c r="T115" s="139"/>
      <c r="U115" s="108"/>
      <c r="V115" s="45"/>
      <c r="W115" s="138"/>
      <c r="X115" s="105"/>
      <c r="Y115" s="132"/>
      <c r="AE115" s="108"/>
      <c r="AF115" s="108"/>
      <c r="AG115" s="108"/>
      <c r="AH115" s="108"/>
      <c r="AI115" s="108"/>
      <c r="AJ115" s="108"/>
      <c r="AK115" s="108"/>
      <c r="AL115" s="108"/>
      <c r="AN115" s="108"/>
      <c r="AO115" s="108"/>
      <c r="AP115" s="108"/>
      <c r="AQ115" s="108"/>
      <c r="AR115" s="108"/>
      <c r="AS115" s="108"/>
      <c r="AT115" s="108"/>
    </row>
    <row r="116" spans="2:46" ht="15.75" x14ac:dyDescent="0.25">
      <c r="B116" s="54"/>
      <c r="C116" s="730" t="s">
        <v>389</v>
      </c>
      <c r="D116" s="730"/>
      <c r="E116" s="730"/>
      <c r="F116" s="26"/>
      <c r="G116" s="43"/>
      <c r="H116" s="73"/>
      <c r="K116" s="137"/>
      <c r="M116" s="45"/>
      <c r="N116" s="138"/>
      <c r="O116" s="105"/>
      <c r="P116" s="132"/>
      <c r="Q116" s="108"/>
      <c r="T116" s="139"/>
      <c r="U116" s="108"/>
      <c r="V116" s="45"/>
      <c r="W116" s="138"/>
      <c r="X116" s="105"/>
      <c r="Y116" s="132"/>
      <c r="AE116" s="108"/>
      <c r="AF116" s="108"/>
      <c r="AG116" s="108"/>
      <c r="AH116" s="108"/>
      <c r="AI116" s="108"/>
      <c r="AJ116" s="108"/>
      <c r="AK116" s="108"/>
      <c r="AL116" s="108"/>
      <c r="AN116" s="108"/>
      <c r="AO116" s="108"/>
      <c r="AP116" s="108"/>
      <c r="AQ116" s="108"/>
      <c r="AR116" s="108"/>
      <c r="AS116" s="108"/>
      <c r="AT116" s="108"/>
    </row>
    <row r="117" spans="2:46" ht="15.75" x14ac:dyDescent="0.25">
      <c r="B117" s="26"/>
      <c r="C117" s="91" t="s">
        <v>392</v>
      </c>
      <c r="D117" s="644"/>
      <c r="E117" s="94" t="s">
        <v>358</v>
      </c>
      <c r="F117" s="26"/>
      <c r="G117" s="43"/>
      <c r="H117" s="73"/>
      <c r="K117" s="137"/>
      <c r="M117" s="45"/>
      <c r="N117" s="138"/>
      <c r="O117" s="105"/>
      <c r="P117" s="132"/>
      <c r="Q117" s="108"/>
      <c r="T117" s="139"/>
      <c r="U117" s="108"/>
      <c r="V117" s="45"/>
      <c r="W117" s="138"/>
      <c r="X117" s="105"/>
      <c r="Y117" s="132"/>
      <c r="AE117" s="108"/>
      <c r="AF117" s="108"/>
      <c r="AG117" s="108"/>
      <c r="AH117" s="108"/>
      <c r="AI117" s="108"/>
      <c r="AJ117" s="108"/>
      <c r="AK117" s="108"/>
      <c r="AL117" s="108"/>
      <c r="AN117" s="108"/>
      <c r="AO117" s="108"/>
      <c r="AP117" s="108"/>
      <c r="AQ117" s="108"/>
      <c r="AR117" s="108"/>
      <c r="AS117" s="108"/>
      <c r="AT117" s="108"/>
    </row>
    <row r="118" spans="2:46" ht="15.75" x14ac:dyDescent="0.25">
      <c r="B118" s="73"/>
      <c r="C118" s="91" t="s">
        <v>134</v>
      </c>
      <c r="D118" s="670"/>
      <c r="E118" s="25"/>
      <c r="F118" s="26"/>
      <c r="G118" s="43"/>
      <c r="H118" s="73"/>
      <c r="K118" s="137"/>
      <c r="M118" s="45"/>
      <c r="N118" s="138"/>
      <c r="O118" s="105"/>
      <c r="P118" s="132"/>
      <c r="Q118" s="108"/>
      <c r="T118" s="139"/>
      <c r="U118" s="108"/>
      <c r="V118" s="45"/>
      <c r="W118" s="138"/>
      <c r="X118" s="105"/>
      <c r="Y118" s="132"/>
      <c r="AE118" s="108"/>
      <c r="AF118" s="108"/>
      <c r="AG118" s="108"/>
      <c r="AH118" s="108"/>
      <c r="AI118" s="108"/>
      <c r="AJ118" s="108"/>
      <c r="AK118" s="108"/>
      <c r="AL118" s="108"/>
      <c r="AN118" s="108"/>
      <c r="AO118" s="108"/>
      <c r="AP118" s="108"/>
      <c r="AQ118" s="108"/>
      <c r="AR118" s="108"/>
      <c r="AS118" s="108"/>
      <c r="AT118" s="108"/>
    </row>
    <row r="119" spans="2:46" ht="15.75" x14ac:dyDescent="0.25">
      <c r="B119" s="26"/>
      <c r="C119" s="91" t="s">
        <v>257</v>
      </c>
      <c r="D119" s="644"/>
      <c r="E119" s="94" t="s">
        <v>190</v>
      </c>
      <c r="F119" s="26"/>
      <c r="G119" s="43"/>
      <c r="H119" s="73"/>
      <c r="K119" s="137"/>
      <c r="M119" s="45"/>
      <c r="N119" s="138"/>
      <c r="O119" s="105"/>
      <c r="P119" s="132"/>
      <c r="Q119" s="108"/>
      <c r="T119" s="139"/>
      <c r="U119" s="108"/>
      <c r="V119" s="45"/>
      <c r="W119" s="138"/>
      <c r="X119" s="105"/>
      <c r="Y119" s="132"/>
      <c r="AE119" s="108"/>
      <c r="AF119" s="108"/>
      <c r="AG119" s="108"/>
      <c r="AH119" s="108"/>
      <c r="AI119" s="108"/>
      <c r="AJ119" s="108"/>
      <c r="AK119" s="108"/>
      <c r="AL119" s="108"/>
      <c r="AN119" s="108"/>
      <c r="AO119" s="108"/>
      <c r="AP119" s="108"/>
      <c r="AQ119" s="108"/>
      <c r="AR119" s="108"/>
      <c r="AS119" s="108"/>
      <c r="AT119" s="108"/>
    </row>
    <row r="120" spans="2:46" ht="6" customHeight="1" x14ac:dyDescent="0.25">
      <c r="B120" s="156"/>
      <c r="C120" s="157"/>
      <c r="D120" s="53"/>
      <c r="E120" s="138"/>
      <c r="F120" s="38"/>
      <c r="G120" s="105"/>
      <c r="K120" s="137"/>
      <c r="M120" s="45"/>
      <c r="N120" s="138"/>
      <c r="O120" s="105"/>
      <c r="P120" s="132"/>
      <c r="Q120" s="108"/>
      <c r="T120" s="139"/>
      <c r="U120" s="108"/>
      <c r="V120" s="45"/>
      <c r="W120" s="138"/>
      <c r="X120" s="105"/>
      <c r="Y120" s="132"/>
      <c r="AE120" s="108"/>
      <c r="AF120" s="108"/>
      <c r="AG120" s="108"/>
      <c r="AH120" s="108"/>
      <c r="AI120" s="108"/>
      <c r="AJ120" s="108"/>
      <c r="AK120" s="108"/>
      <c r="AL120" s="108"/>
      <c r="AN120" s="108"/>
      <c r="AO120" s="108"/>
      <c r="AP120" s="108"/>
      <c r="AQ120" s="108"/>
      <c r="AR120" s="108"/>
      <c r="AS120" s="108"/>
      <c r="AT120" s="108"/>
    </row>
    <row r="121" spans="2:46" ht="15.75" x14ac:dyDescent="0.25">
      <c r="B121" s="54"/>
      <c r="C121" s="733" t="s">
        <v>184</v>
      </c>
      <c r="D121" s="733"/>
      <c r="E121" s="733"/>
      <c r="F121" s="26"/>
      <c r="G121" s="43"/>
      <c r="H121" s="73"/>
      <c r="K121" s="137"/>
      <c r="M121" s="45"/>
      <c r="N121" s="138"/>
      <c r="O121" s="105"/>
      <c r="P121" s="132"/>
      <c r="Q121" s="108"/>
      <c r="T121" s="139"/>
      <c r="U121" s="108"/>
      <c r="V121" s="45"/>
      <c r="W121" s="138"/>
      <c r="X121" s="105"/>
      <c r="Y121" s="132"/>
      <c r="AE121" s="108"/>
      <c r="AF121" s="108"/>
      <c r="AG121" s="108"/>
      <c r="AH121" s="108"/>
      <c r="AI121" s="108"/>
      <c r="AJ121" s="108"/>
      <c r="AK121" s="108"/>
      <c r="AL121" s="108"/>
      <c r="AN121" s="108"/>
      <c r="AO121" s="108"/>
      <c r="AP121" s="108"/>
      <c r="AQ121" s="108"/>
      <c r="AR121" s="108"/>
      <c r="AS121" s="108"/>
      <c r="AT121" s="108"/>
    </row>
    <row r="122" spans="2:46" ht="15.75" x14ac:dyDescent="0.25">
      <c r="B122" s="26"/>
      <c r="C122" s="91" t="s">
        <v>392</v>
      </c>
      <c r="D122" s="644"/>
      <c r="E122" s="94" t="s">
        <v>358</v>
      </c>
      <c r="F122" s="26"/>
      <c r="G122" s="26"/>
      <c r="H122" s="73"/>
      <c r="K122" s="102"/>
      <c r="M122" s="45"/>
      <c r="N122" s="138"/>
      <c r="O122" s="105"/>
      <c r="P122" s="132"/>
      <c r="Q122" s="108"/>
      <c r="T122" s="130"/>
      <c r="U122" s="108"/>
      <c r="V122" s="45"/>
      <c r="W122" s="138"/>
      <c r="X122" s="105"/>
      <c r="Y122" s="132"/>
      <c r="AE122" s="108"/>
      <c r="AF122" s="108"/>
      <c r="AG122" s="108"/>
      <c r="AH122" s="108"/>
      <c r="AI122" s="108"/>
      <c r="AJ122" s="108"/>
      <c r="AK122" s="108"/>
      <c r="AL122" s="108"/>
      <c r="AN122" s="108"/>
      <c r="AO122" s="108"/>
      <c r="AP122" s="108"/>
      <c r="AQ122" s="108"/>
      <c r="AR122" s="108"/>
      <c r="AS122" s="108"/>
      <c r="AT122" s="108"/>
    </row>
    <row r="123" spans="2:46" ht="15.75" x14ac:dyDescent="0.25">
      <c r="B123" s="73"/>
      <c r="C123" s="91" t="s">
        <v>134</v>
      </c>
      <c r="D123" s="670"/>
      <c r="E123" s="25"/>
      <c r="F123" s="26"/>
      <c r="G123" s="26"/>
      <c r="H123" s="73"/>
      <c r="K123" s="102"/>
      <c r="M123" s="45"/>
      <c r="N123" s="138"/>
      <c r="O123" s="105"/>
      <c r="P123" s="132"/>
      <c r="Q123" s="108"/>
      <c r="T123" s="130"/>
      <c r="U123" s="108"/>
      <c r="V123" s="45"/>
      <c r="W123" s="138"/>
      <c r="X123" s="105"/>
      <c r="Y123" s="132"/>
      <c r="AE123" s="108"/>
      <c r="AF123" s="108"/>
      <c r="AG123" s="108"/>
      <c r="AH123" s="108"/>
      <c r="AI123" s="108"/>
      <c r="AJ123" s="108"/>
      <c r="AK123" s="108"/>
      <c r="AL123" s="108"/>
      <c r="AN123" s="108"/>
      <c r="AO123" s="108"/>
      <c r="AP123" s="108"/>
      <c r="AQ123" s="108"/>
      <c r="AR123" s="108"/>
      <c r="AS123" s="108"/>
      <c r="AT123" s="108"/>
    </row>
    <row r="124" spans="2:46" ht="15.75" x14ac:dyDescent="0.25">
      <c r="B124" s="26"/>
      <c r="C124" s="91" t="s">
        <v>257</v>
      </c>
      <c r="D124" s="644"/>
      <c r="E124" s="94" t="s">
        <v>190</v>
      </c>
      <c r="F124" s="26"/>
      <c r="G124" s="26"/>
      <c r="H124" s="73"/>
      <c r="M124" s="45"/>
      <c r="N124" s="138"/>
      <c r="O124" s="105"/>
      <c r="P124" s="132"/>
      <c r="Q124" s="108"/>
      <c r="T124" s="130"/>
      <c r="U124" s="108"/>
      <c r="V124" s="45"/>
      <c r="W124" s="138"/>
      <c r="X124" s="105"/>
      <c r="Y124" s="132"/>
      <c r="AE124" s="108"/>
      <c r="AF124" s="108"/>
      <c r="AG124" s="108"/>
      <c r="AH124" s="108"/>
      <c r="AI124" s="108"/>
      <c r="AJ124" s="108"/>
      <c r="AK124" s="108"/>
      <c r="AL124" s="108"/>
      <c r="AN124" s="108"/>
      <c r="AO124" s="108"/>
      <c r="AP124" s="108"/>
      <c r="AQ124" s="108"/>
      <c r="AR124" s="108"/>
      <c r="AS124" s="108"/>
      <c r="AT124" s="108"/>
    </row>
    <row r="125" spans="2:46" ht="6" customHeight="1" x14ac:dyDescent="0.25">
      <c r="B125" s="75"/>
      <c r="C125" s="157"/>
      <c r="D125" s="53"/>
      <c r="E125" s="75"/>
      <c r="F125" s="38"/>
      <c r="G125" s="132"/>
      <c r="H125" s="108"/>
      <c r="M125" s="45"/>
      <c r="N125" s="138"/>
      <c r="O125" s="105"/>
      <c r="P125" s="132"/>
      <c r="Q125" s="108"/>
      <c r="T125" s="130"/>
      <c r="U125" s="108"/>
      <c r="V125" s="45"/>
      <c r="W125" s="138"/>
      <c r="X125" s="105"/>
      <c r="Y125" s="132"/>
      <c r="AE125" s="108"/>
      <c r="AF125" s="108"/>
      <c r="AG125" s="108"/>
      <c r="AH125" s="108"/>
      <c r="AI125" s="108"/>
      <c r="AJ125" s="108"/>
      <c r="AK125" s="108"/>
      <c r="AL125" s="108"/>
      <c r="AN125" s="108"/>
      <c r="AO125" s="108"/>
      <c r="AP125" s="108"/>
      <c r="AQ125" s="108"/>
      <c r="AR125" s="108"/>
      <c r="AS125" s="108"/>
      <c r="AT125" s="108"/>
    </row>
    <row r="126" spans="2:46" ht="18.75" customHeight="1" x14ac:dyDescent="0.25">
      <c r="B126" s="54"/>
      <c r="C126" s="730" t="s">
        <v>106</v>
      </c>
      <c r="D126" s="730"/>
      <c r="E126" s="730"/>
      <c r="F126" s="26"/>
      <c r="G126" s="43"/>
      <c r="H126" s="73"/>
      <c r="M126" s="45"/>
      <c r="N126" s="138"/>
      <c r="O126" s="105"/>
      <c r="P126" s="132"/>
      <c r="Q126" s="108"/>
      <c r="T126" s="130"/>
      <c r="U126" s="108"/>
      <c r="V126" s="45"/>
      <c r="W126" s="138"/>
      <c r="X126" s="105"/>
      <c r="Y126" s="132"/>
      <c r="AE126" s="108"/>
      <c r="AF126" s="108"/>
      <c r="AG126" s="108"/>
      <c r="AH126" s="108"/>
      <c r="AI126" s="108"/>
      <c r="AJ126" s="108"/>
      <c r="AK126" s="108"/>
      <c r="AL126" s="108"/>
      <c r="AN126" s="108"/>
      <c r="AO126" s="108"/>
      <c r="AP126" s="108"/>
      <c r="AQ126" s="108"/>
      <c r="AR126" s="108"/>
      <c r="AS126" s="108"/>
      <c r="AT126" s="108"/>
    </row>
    <row r="127" spans="2:46" ht="15.75" x14ac:dyDescent="0.25">
      <c r="B127" s="26"/>
      <c r="C127" s="91" t="s">
        <v>392</v>
      </c>
      <c r="D127" s="644"/>
      <c r="E127" s="94" t="s">
        <v>358</v>
      </c>
      <c r="F127" s="26"/>
      <c r="G127" s="26"/>
      <c r="H127" s="73"/>
      <c r="M127" s="45"/>
      <c r="N127" s="138"/>
      <c r="O127" s="105"/>
      <c r="P127" s="132"/>
      <c r="Q127" s="108"/>
      <c r="T127" s="130"/>
      <c r="U127" s="108"/>
      <c r="V127" s="45"/>
      <c r="W127" s="138"/>
      <c r="X127" s="105"/>
      <c r="Y127" s="132"/>
      <c r="AE127" s="108"/>
      <c r="AF127" s="108"/>
      <c r="AG127" s="108"/>
      <c r="AH127" s="108"/>
      <c r="AI127" s="108"/>
      <c r="AJ127" s="108"/>
      <c r="AK127" s="108"/>
      <c r="AL127" s="108"/>
      <c r="AN127" s="108"/>
      <c r="AO127" s="108"/>
      <c r="AP127" s="108"/>
      <c r="AQ127" s="108"/>
      <c r="AR127" s="108"/>
      <c r="AS127" s="108"/>
      <c r="AT127" s="108"/>
    </row>
    <row r="128" spans="2:46" x14ac:dyDescent="0.25">
      <c r="B128" s="73"/>
      <c r="C128" s="91" t="s">
        <v>134</v>
      </c>
      <c r="D128" s="670"/>
      <c r="E128" s="25"/>
      <c r="F128" s="26"/>
      <c r="G128" s="26"/>
      <c r="H128" s="73"/>
      <c r="K128" s="106"/>
      <c r="M128" s="108"/>
      <c r="N128" s="108"/>
      <c r="O128" s="108"/>
      <c r="P128" s="108"/>
      <c r="Q128" s="108"/>
      <c r="AE128" s="108"/>
      <c r="AF128" s="108"/>
      <c r="AG128" s="108"/>
      <c r="AH128" s="108"/>
      <c r="AI128" s="108"/>
      <c r="AJ128" s="108"/>
      <c r="AK128" s="108"/>
      <c r="AL128" s="108"/>
      <c r="AN128" s="108"/>
      <c r="AO128" s="108"/>
      <c r="AP128" s="108"/>
      <c r="AQ128" s="108"/>
      <c r="AR128" s="108"/>
      <c r="AS128" s="108"/>
      <c r="AT128" s="108"/>
    </row>
    <row r="129" spans="2:46" x14ac:dyDescent="0.25">
      <c r="B129" s="26"/>
      <c r="C129" s="91" t="s">
        <v>257</v>
      </c>
      <c r="D129" s="644"/>
      <c r="E129" s="94" t="s">
        <v>190</v>
      </c>
      <c r="F129" s="26"/>
      <c r="G129" s="26"/>
      <c r="H129" s="73"/>
      <c r="AE129" s="108"/>
      <c r="AF129" s="108"/>
      <c r="AG129" s="108"/>
      <c r="AH129" s="108"/>
      <c r="AI129" s="108"/>
      <c r="AJ129" s="108"/>
      <c r="AK129" s="108"/>
      <c r="AL129" s="108"/>
      <c r="AN129" s="108"/>
      <c r="AO129" s="108"/>
      <c r="AP129" s="108"/>
      <c r="AQ129" s="108"/>
      <c r="AR129" s="108"/>
      <c r="AS129" s="108"/>
      <c r="AT129" s="108"/>
    </row>
    <row r="130" spans="2:46" ht="6" customHeight="1" x14ac:dyDescent="0.25">
      <c r="B130" s="156"/>
      <c r="C130" s="157"/>
      <c r="D130" s="53"/>
      <c r="E130" s="138"/>
      <c r="F130" s="38"/>
      <c r="G130" s="105"/>
      <c r="K130" s="137"/>
      <c r="M130" s="45"/>
      <c r="N130" s="138"/>
      <c r="O130" s="105"/>
      <c r="P130" s="132"/>
      <c r="Q130" s="108"/>
      <c r="T130" s="139"/>
      <c r="U130" s="108"/>
      <c r="V130" s="45"/>
      <c r="W130" s="138"/>
      <c r="X130" s="105"/>
      <c r="Y130" s="132"/>
      <c r="AE130" s="108"/>
      <c r="AF130" s="108"/>
      <c r="AG130" s="108"/>
      <c r="AH130" s="108"/>
      <c r="AI130" s="108"/>
      <c r="AJ130" s="108"/>
      <c r="AK130" s="108"/>
      <c r="AL130" s="108"/>
      <c r="AN130" s="108"/>
      <c r="AO130" s="108"/>
      <c r="AP130" s="108"/>
      <c r="AQ130" s="108"/>
      <c r="AR130" s="108"/>
      <c r="AS130" s="108"/>
      <c r="AT130" s="108"/>
    </row>
    <row r="131" spans="2:46" ht="15.75" x14ac:dyDescent="0.25">
      <c r="B131" s="54"/>
      <c r="C131" s="733" t="s">
        <v>347</v>
      </c>
      <c r="D131" s="733"/>
      <c r="E131" s="733"/>
      <c r="F131" s="26"/>
      <c r="G131" s="43"/>
      <c r="H131" s="73"/>
      <c r="K131" s="137"/>
      <c r="M131" s="45"/>
      <c r="N131" s="138"/>
      <c r="O131" s="105"/>
      <c r="P131" s="132"/>
      <c r="Q131" s="108"/>
      <c r="T131" s="139"/>
      <c r="U131" s="108"/>
      <c r="V131" s="45"/>
      <c r="W131" s="138"/>
      <c r="X131" s="105"/>
      <c r="Y131" s="132"/>
      <c r="AE131" s="108"/>
      <c r="AF131" s="108"/>
      <c r="AG131" s="108"/>
      <c r="AH131" s="108"/>
      <c r="AI131" s="108"/>
      <c r="AJ131" s="108"/>
      <c r="AK131" s="108"/>
      <c r="AL131" s="108"/>
      <c r="AN131" s="108"/>
      <c r="AO131" s="108"/>
      <c r="AP131" s="108"/>
      <c r="AQ131" s="108"/>
      <c r="AR131" s="108"/>
      <c r="AS131" s="108"/>
      <c r="AT131" s="108"/>
    </row>
    <row r="132" spans="2:46" ht="15.75" x14ac:dyDescent="0.25">
      <c r="B132" s="26"/>
      <c r="C132" s="91" t="s">
        <v>392</v>
      </c>
      <c r="D132" s="644"/>
      <c r="E132" s="94" t="s">
        <v>358</v>
      </c>
      <c r="F132" s="26"/>
      <c r="G132" s="26"/>
      <c r="H132" s="73"/>
      <c r="K132" s="102"/>
      <c r="M132" s="45"/>
      <c r="N132" s="138"/>
      <c r="O132" s="105"/>
      <c r="P132" s="132"/>
      <c r="Q132" s="108"/>
      <c r="T132" s="130"/>
      <c r="U132" s="108"/>
      <c r="V132" s="45"/>
      <c r="W132" s="138"/>
      <c r="X132" s="105"/>
      <c r="Y132" s="132"/>
      <c r="AE132" s="108"/>
      <c r="AF132" s="108"/>
      <c r="AG132" s="108"/>
      <c r="AH132" s="108"/>
      <c r="AI132" s="108"/>
      <c r="AJ132" s="108"/>
      <c r="AK132" s="108"/>
      <c r="AL132" s="108"/>
      <c r="AN132" s="108"/>
      <c r="AO132" s="108"/>
      <c r="AP132" s="108"/>
      <c r="AQ132" s="108"/>
      <c r="AR132" s="108"/>
      <c r="AS132" s="108"/>
      <c r="AT132" s="108"/>
    </row>
    <row r="133" spans="2:46" ht="15.75" x14ac:dyDescent="0.25">
      <c r="B133" s="73"/>
      <c r="C133" s="91" t="s">
        <v>134</v>
      </c>
      <c r="D133" s="670"/>
      <c r="E133" s="25"/>
      <c r="F133" s="26"/>
      <c r="G133" s="26"/>
      <c r="H133" s="73"/>
      <c r="K133" s="102"/>
      <c r="M133" s="45"/>
      <c r="N133" s="138"/>
      <c r="O133" s="105"/>
      <c r="P133" s="132"/>
      <c r="Q133" s="108"/>
      <c r="T133" s="130"/>
      <c r="U133" s="108"/>
      <c r="V133" s="45"/>
      <c r="W133" s="138"/>
      <c r="X133" s="105"/>
      <c r="Y133" s="132"/>
      <c r="AE133" s="108"/>
      <c r="AF133" s="108"/>
      <c r="AG133" s="108"/>
      <c r="AH133" s="108"/>
      <c r="AI133" s="108"/>
      <c r="AJ133" s="108"/>
      <c r="AK133" s="108"/>
      <c r="AL133" s="108"/>
    </row>
    <row r="134" spans="2:46" ht="15.75" x14ac:dyDescent="0.25">
      <c r="B134" s="26"/>
      <c r="C134" s="91" t="s">
        <v>257</v>
      </c>
      <c r="D134" s="644"/>
      <c r="E134" s="94" t="s">
        <v>190</v>
      </c>
      <c r="F134" s="26"/>
      <c r="G134" s="26"/>
      <c r="H134" s="73"/>
      <c r="M134" s="45"/>
      <c r="N134" s="138"/>
      <c r="O134" s="105"/>
      <c r="P134" s="132"/>
      <c r="Q134" s="108"/>
      <c r="T134" s="130"/>
      <c r="U134" s="108"/>
      <c r="V134" s="45"/>
      <c r="W134" s="138"/>
      <c r="X134" s="105"/>
      <c r="Y134" s="132"/>
      <c r="AE134" s="108"/>
      <c r="AF134" s="108"/>
      <c r="AG134" s="108"/>
      <c r="AH134" s="108"/>
      <c r="AI134" s="108"/>
      <c r="AJ134" s="108"/>
      <c r="AK134" s="108"/>
      <c r="AL134" s="108"/>
    </row>
    <row r="135" spans="2:46" ht="6" customHeight="1" x14ac:dyDescent="0.25">
      <c r="B135" s="75"/>
      <c r="C135" s="157"/>
      <c r="D135" s="53"/>
      <c r="E135" s="35"/>
      <c r="F135" s="38"/>
      <c r="G135" s="31"/>
      <c r="H135" s="108"/>
      <c r="M135" s="45"/>
      <c r="N135" s="138"/>
      <c r="O135" s="105"/>
      <c r="P135" s="132"/>
      <c r="Q135" s="108"/>
      <c r="T135" s="130"/>
      <c r="U135" s="108"/>
      <c r="V135" s="45"/>
      <c r="W135" s="138"/>
      <c r="X135" s="105"/>
      <c r="Y135" s="132"/>
      <c r="AE135" s="108"/>
      <c r="AF135" s="108"/>
      <c r="AG135" s="108"/>
      <c r="AH135" s="108"/>
      <c r="AI135" s="108"/>
      <c r="AJ135" s="108"/>
      <c r="AK135" s="108"/>
      <c r="AL135" s="108"/>
    </row>
    <row r="136" spans="2:46" ht="18.75" customHeight="1" x14ac:dyDescent="0.25">
      <c r="B136" s="54"/>
      <c r="C136" s="730" t="s">
        <v>466</v>
      </c>
      <c r="D136" s="730"/>
      <c r="E136" s="730"/>
      <c r="F136" s="26"/>
      <c r="G136" s="43"/>
      <c r="H136" s="73"/>
      <c r="M136" s="45"/>
      <c r="N136" s="138"/>
      <c r="O136" s="105"/>
      <c r="P136" s="132"/>
      <c r="Q136" s="108"/>
      <c r="T136" s="130"/>
      <c r="U136" s="108"/>
      <c r="V136" s="45"/>
      <c r="W136" s="138"/>
      <c r="X136" s="105"/>
      <c r="Y136" s="132"/>
      <c r="AE136" s="108"/>
      <c r="AF136" s="108"/>
      <c r="AG136" s="108"/>
      <c r="AH136" s="108"/>
      <c r="AI136" s="108"/>
      <c r="AJ136" s="108"/>
      <c r="AK136" s="108"/>
      <c r="AL136" s="108"/>
    </row>
    <row r="137" spans="2:46" ht="15.75" x14ac:dyDescent="0.25">
      <c r="B137" s="26"/>
      <c r="C137" s="91" t="s">
        <v>392</v>
      </c>
      <c r="D137" s="644"/>
      <c r="E137" s="94" t="s">
        <v>358</v>
      </c>
      <c r="F137" s="26"/>
      <c r="G137" s="26"/>
      <c r="H137" s="73"/>
      <c r="M137" s="45"/>
      <c r="N137" s="138"/>
      <c r="O137" s="105"/>
      <c r="P137" s="132"/>
      <c r="Q137" s="108"/>
      <c r="T137" s="130"/>
      <c r="U137" s="108"/>
      <c r="V137" s="45"/>
      <c r="W137" s="138"/>
      <c r="X137" s="105"/>
      <c r="Y137" s="132"/>
      <c r="AE137" s="108"/>
      <c r="AF137" s="108"/>
      <c r="AG137" s="108"/>
      <c r="AH137" s="108"/>
      <c r="AI137" s="108"/>
      <c r="AJ137" s="108"/>
      <c r="AK137" s="108"/>
      <c r="AL137" s="108"/>
    </row>
    <row r="138" spans="2:46" x14ac:dyDescent="0.25">
      <c r="B138" s="73"/>
      <c r="C138" s="91" t="s">
        <v>134</v>
      </c>
      <c r="D138" s="670"/>
      <c r="E138" s="25"/>
      <c r="F138" s="26"/>
      <c r="G138" s="26"/>
      <c r="H138" s="73"/>
      <c r="K138" s="106"/>
      <c r="M138" s="108"/>
      <c r="N138" s="108"/>
      <c r="O138" s="108"/>
      <c r="P138" s="108"/>
      <c r="Q138" s="108"/>
      <c r="AE138" s="108"/>
      <c r="AF138" s="108"/>
      <c r="AG138" s="108"/>
      <c r="AH138" s="108"/>
      <c r="AI138" s="108"/>
      <c r="AJ138" s="108"/>
      <c r="AK138" s="108"/>
      <c r="AL138" s="108"/>
    </row>
    <row r="139" spans="2:46" x14ac:dyDescent="0.25">
      <c r="B139" s="26"/>
      <c r="C139" s="91" t="s">
        <v>257</v>
      </c>
      <c r="D139" s="644"/>
      <c r="E139" s="94" t="s">
        <v>190</v>
      </c>
      <c r="F139" s="26"/>
      <c r="G139" s="26"/>
      <c r="H139" s="73"/>
      <c r="AE139" s="108"/>
      <c r="AF139" s="108"/>
      <c r="AG139" s="108"/>
      <c r="AH139" s="108"/>
      <c r="AI139" s="108"/>
      <c r="AJ139" s="108"/>
      <c r="AK139" s="108"/>
      <c r="AL139" s="108"/>
    </row>
    <row r="140" spans="2:46" ht="6" customHeight="1" x14ac:dyDescent="0.25">
      <c r="D140" s="85"/>
      <c r="AE140" s="108"/>
      <c r="AF140" s="108"/>
      <c r="AG140" s="108"/>
      <c r="AH140" s="108"/>
      <c r="AI140" s="108"/>
      <c r="AJ140" s="108"/>
      <c r="AK140" s="108"/>
      <c r="AL140" s="108"/>
      <c r="AN140" s="108"/>
      <c r="AO140" s="108"/>
      <c r="AP140" s="108"/>
      <c r="AQ140" s="108"/>
      <c r="AR140" s="108"/>
      <c r="AS140" s="108"/>
      <c r="AT140" s="108"/>
    </row>
    <row r="141" spans="2:46" x14ac:dyDescent="0.25">
      <c r="B141" s="25"/>
      <c r="C141" s="93" t="s">
        <v>845</v>
      </c>
      <c r="D141" s="644"/>
      <c r="E141" s="94" t="s">
        <v>363</v>
      </c>
      <c r="F141" s="27"/>
      <c r="G141" s="27"/>
      <c r="H141" s="73"/>
      <c r="AE141" s="108"/>
      <c r="AF141" s="108"/>
      <c r="AG141" s="108"/>
      <c r="AH141" s="108"/>
      <c r="AI141" s="108"/>
      <c r="AJ141" s="108"/>
      <c r="AK141" s="108"/>
      <c r="AL141" s="108"/>
    </row>
    <row r="142" spans="2:46" x14ac:dyDescent="0.25">
      <c r="B142" s="25"/>
      <c r="C142" s="93" t="s">
        <v>846</v>
      </c>
      <c r="D142" s="644"/>
      <c r="E142" s="94" t="s">
        <v>363</v>
      </c>
      <c r="F142" s="27"/>
      <c r="G142" s="27"/>
      <c r="H142" s="73"/>
      <c r="AE142" s="108"/>
      <c r="AF142" s="108"/>
      <c r="AG142" s="108"/>
      <c r="AH142" s="108"/>
      <c r="AI142" s="108"/>
      <c r="AJ142" s="108"/>
      <c r="AK142" s="108"/>
      <c r="AL142" s="108"/>
    </row>
    <row r="143" spans="2:46" x14ac:dyDescent="0.25">
      <c r="B143" s="25"/>
      <c r="C143" s="93" t="s">
        <v>847</v>
      </c>
      <c r="D143" s="644"/>
      <c r="E143" s="94" t="s">
        <v>363</v>
      </c>
      <c r="F143" s="27"/>
      <c r="G143" s="27"/>
      <c r="H143" s="73"/>
      <c r="AE143" s="108"/>
      <c r="AF143" s="108"/>
      <c r="AG143" s="108"/>
      <c r="AH143" s="108"/>
      <c r="AI143" s="108"/>
      <c r="AJ143" s="108"/>
      <c r="AK143" s="108"/>
      <c r="AL143" s="108"/>
    </row>
    <row r="144" spans="2:46" x14ac:dyDescent="0.25">
      <c r="B144" s="25"/>
      <c r="C144" s="93" t="s">
        <v>922</v>
      </c>
      <c r="D144" s="644"/>
      <c r="E144" s="94" t="s">
        <v>378</v>
      </c>
      <c r="F144" s="141" t="s">
        <v>924</v>
      </c>
      <c r="G144" s="646"/>
      <c r="H144" s="410" t="s">
        <v>709</v>
      </c>
      <c r="AE144" s="108"/>
      <c r="AF144" s="108"/>
      <c r="AG144" s="108"/>
      <c r="AH144" s="108"/>
      <c r="AI144" s="108"/>
      <c r="AJ144" s="108"/>
      <c r="AK144" s="108"/>
      <c r="AL144" s="108"/>
    </row>
    <row r="145" spans="2:46" x14ac:dyDescent="0.25">
      <c r="B145" s="25"/>
      <c r="C145" s="93" t="s">
        <v>923</v>
      </c>
      <c r="D145" s="644"/>
      <c r="E145" s="94" t="s">
        <v>378</v>
      </c>
      <c r="F145" s="141" t="s">
        <v>924</v>
      </c>
      <c r="G145" s="646"/>
      <c r="H145" s="410" t="s">
        <v>709</v>
      </c>
      <c r="AE145" s="108"/>
      <c r="AF145" s="108"/>
      <c r="AG145" s="108"/>
      <c r="AH145" s="108"/>
      <c r="AI145" s="108"/>
      <c r="AJ145" s="108"/>
      <c r="AK145" s="108"/>
      <c r="AL145" s="108"/>
    </row>
    <row r="146" spans="2:46" x14ac:dyDescent="0.25">
      <c r="B146" s="25"/>
      <c r="C146" s="93" t="s">
        <v>376</v>
      </c>
      <c r="D146" s="644"/>
      <c r="E146" s="94" t="s">
        <v>377</v>
      </c>
      <c r="F146" s="27"/>
      <c r="G146" s="27"/>
      <c r="H146" s="73"/>
      <c r="AE146" s="108"/>
      <c r="AF146" s="108"/>
      <c r="AG146" s="108"/>
      <c r="AH146" s="108"/>
      <c r="AI146" s="108"/>
      <c r="AJ146" s="108"/>
      <c r="AK146" s="108"/>
      <c r="AL146" s="108"/>
    </row>
    <row r="147" spans="2:46" x14ac:dyDescent="0.25">
      <c r="B147" s="25"/>
      <c r="C147" s="93" t="s">
        <v>375</v>
      </c>
      <c r="D147" s="644"/>
      <c r="E147" s="94" t="s">
        <v>377</v>
      </c>
      <c r="F147" s="27"/>
      <c r="G147" s="27"/>
      <c r="H147" s="73"/>
      <c r="AE147" s="108"/>
      <c r="AF147" s="108"/>
      <c r="AG147" s="108"/>
      <c r="AH147" s="108"/>
      <c r="AI147" s="108"/>
      <c r="AJ147" s="108"/>
      <c r="AK147" s="108"/>
      <c r="AL147" s="108"/>
    </row>
    <row r="148" spans="2:46" x14ac:dyDescent="0.25">
      <c r="B148" s="25"/>
      <c r="C148" s="93" t="s">
        <v>372</v>
      </c>
      <c r="D148" s="644"/>
      <c r="E148" s="94" t="s">
        <v>377</v>
      </c>
      <c r="F148" s="27"/>
      <c r="G148" s="39"/>
      <c r="H148" s="73"/>
      <c r="AE148" s="108"/>
      <c r="AF148" s="108"/>
      <c r="AG148" s="108"/>
      <c r="AH148" s="108"/>
      <c r="AI148" s="108"/>
      <c r="AJ148" s="108"/>
      <c r="AK148" s="108"/>
      <c r="AL148" s="108"/>
    </row>
    <row r="149" spans="2:46" x14ac:dyDescent="0.25">
      <c r="B149" s="25"/>
      <c r="C149" s="93" t="s">
        <v>373</v>
      </c>
      <c r="D149" s="644"/>
      <c r="E149" s="94" t="s">
        <v>377</v>
      </c>
      <c r="F149" s="27"/>
      <c r="G149" s="39"/>
      <c r="H149" s="73"/>
      <c r="AE149" s="108"/>
      <c r="AF149" s="108"/>
      <c r="AG149" s="108"/>
      <c r="AH149" s="108"/>
      <c r="AI149" s="108"/>
      <c r="AJ149" s="108"/>
      <c r="AK149" s="108"/>
      <c r="AL149" s="108"/>
    </row>
    <row r="150" spans="2:46" ht="15" customHeight="1" x14ac:dyDescent="0.25">
      <c r="B150" s="25"/>
      <c r="C150" s="93" t="s">
        <v>374</v>
      </c>
      <c r="D150" s="644"/>
      <c r="E150" s="94" t="s">
        <v>377</v>
      </c>
      <c r="F150" s="27"/>
      <c r="G150" s="39"/>
      <c r="H150" s="73"/>
      <c r="AE150" s="108"/>
      <c r="AF150" s="108"/>
      <c r="AG150" s="108"/>
      <c r="AH150" s="108"/>
      <c r="AI150" s="108"/>
      <c r="AJ150" s="108"/>
      <c r="AK150" s="108"/>
      <c r="AL150" s="108"/>
    </row>
    <row r="151" spans="2:46" ht="6" customHeight="1" x14ac:dyDescent="0.25">
      <c r="B151" s="25"/>
      <c r="C151" s="25"/>
      <c r="D151" s="25"/>
      <c r="E151" s="25"/>
      <c r="F151" s="25"/>
      <c r="G151" s="25"/>
      <c r="H151" s="25"/>
      <c r="AE151" s="108"/>
      <c r="AF151" s="108"/>
      <c r="AG151" s="108"/>
      <c r="AH151" s="108"/>
      <c r="AI151" s="108"/>
      <c r="AJ151" s="108"/>
      <c r="AK151" s="108"/>
      <c r="AL151" s="108"/>
      <c r="AN151" s="108"/>
      <c r="AO151" s="108"/>
      <c r="AP151" s="108"/>
      <c r="AQ151" s="108"/>
      <c r="AR151" s="108"/>
      <c r="AS151" s="108"/>
      <c r="AT151" s="108"/>
    </row>
    <row r="152" spans="2:46" ht="15" customHeight="1" x14ac:dyDescent="0.25">
      <c r="D152" s="85"/>
      <c r="AE152" s="108"/>
      <c r="AF152" s="108"/>
      <c r="AG152" s="108"/>
      <c r="AH152" s="108"/>
      <c r="AI152" s="108"/>
      <c r="AJ152" s="108"/>
      <c r="AK152" s="108"/>
      <c r="AL152" s="108"/>
      <c r="AN152" s="108"/>
      <c r="AO152" s="108"/>
      <c r="AP152" s="108"/>
      <c r="AQ152" s="108"/>
      <c r="AR152" s="108"/>
      <c r="AS152" s="108"/>
      <c r="AT152" s="108"/>
    </row>
    <row r="153" spans="2:46" ht="18.75" x14ac:dyDescent="0.25">
      <c r="B153" s="732" t="s">
        <v>961</v>
      </c>
      <c r="C153" s="732"/>
      <c r="D153" s="732"/>
      <c r="E153" s="732"/>
      <c r="F153" s="732"/>
      <c r="G153" s="732"/>
      <c r="H153" s="732"/>
      <c r="AE153" s="108"/>
      <c r="AF153" s="108"/>
      <c r="AG153" s="108"/>
      <c r="AH153" s="108"/>
      <c r="AI153" s="108"/>
      <c r="AJ153" s="108"/>
      <c r="AK153" s="108"/>
      <c r="AL153" s="108"/>
    </row>
    <row r="154" spans="2:46" ht="6" customHeight="1" x14ac:dyDescent="0.25">
      <c r="B154" s="149"/>
      <c r="C154" s="149"/>
      <c r="D154" s="149"/>
      <c r="E154" s="149"/>
      <c r="F154" s="149"/>
      <c r="G154" s="149"/>
      <c r="AE154" s="108"/>
      <c r="AF154" s="108"/>
      <c r="AG154" s="108"/>
      <c r="AH154" s="108"/>
      <c r="AI154" s="108"/>
      <c r="AJ154" s="108"/>
      <c r="AK154" s="108"/>
      <c r="AL154" s="108"/>
    </row>
    <row r="155" spans="2:46" x14ac:dyDescent="0.25">
      <c r="B155" s="54"/>
      <c r="C155" s="730" t="s">
        <v>45</v>
      </c>
      <c r="D155" s="730"/>
      <c r="E155" s="730"/>
      <c r="F155" s="26"/>
      <c r="G155" s="43"/>
      <c r="H155" s="73"/>
    </row>
    <row r="156" spans="2:46" x14ac:dyDescent="0.25">
      <c r="B156" s="26"/>
      <c r="C156" s="91" t="s">
        <v>278</v>
      </c>
      <c r="D156" s="670">
        <v>1</v>
      </c>
      <c r="E156" s="659"/>
      <c r="F156" s="26"/>
      <c r="G156" s="26"/>
      <c r="H156" s="73"/>
    </row>
    <row r="157" spans="2:46" x14ac:dyDescent="0.25">
      <c r="B157" s="26"/>
      <c r="C157" s="91" t="s">
        <v>714</v>
      </c>
      <c r="D157" s="670">
        <v>0</v>
      </c>
      <c r="E157" s="659" t="str">
        <f>IF((SUM(D156:D158)=1),"","A soma das porcentagens de distribuição deve ser igual a 100%!")</f>
        <v/>
      </c>
      <c r="F157" s="26"/>
      <c r="G157" s="26"/>
      <c r="H157" s="73"/>
    </row>
    <row r="158" spans="2:46" x14ac:dyDescent="0.25">
      <c r="B158" s="26"/>
      <c r="C158" s="91" t="s">
        <v>894</v>
      </c>
      <c r="D158" s="670">
        <v>0</v>
      </c>
      <c r="E158" s="25"/>
      <c r="F158" s="26"/>
      <c r="G158" s="26"/>
      <c r="H158" s="73"/>
    </row>
    <row r="159" spans="2:46" ht="6" customHeight="1" x14ac:dyDescent="0.25">
      <c r="B159" s="26"/>
      <c r="C159" s="26"/>
      <c r="D159" s="25"/>
      <c r="E159" s="25"/>
      <c r="F159" s="26"/>
      <c r="G159" s="26"/>
      <c r="H159" s="73"/>
    </row>
    <row r="160" spans="2:46" ht="6" customHeight="1" x14ac:dyDescent="0.25">
      <c r="B160" s="156"/>
      <c r="C160" s="735"/>
      <c r="D160" s="735"/>
      <c r="E160" s="735"/>
      <c r="F160" s="125"/>
      <c r="G160" s="105"/>
    </row>
    <row r="161" spans="2:8" x14ac:dyDescent="0.25">
      <c r="B161" s="54"/>
      <c r="C161" s="730" t="s">
        <v>46</v>
      </c>
      <c r="D161" s="730"/>
      <c r="E161" s="730"/>
      <c r="F161" s="26"/>
      <c r="G161" s="43"/>
      <c r="H161" s="73"/>
    </row>
    <row r="162" spans="2:8" x14ac:dyDescent="0.25">
      <c r="B162" s="26"/>
      <c r="C162" s="91" t="s">
        <v>278</v>
      </c>
      <c r="D162" s="670">
        <v>1</v>
      </c>
      <c r="E162" s="659"/>
      <c r="F162" s="26"/>
      <c r="G162" s="26"/>
      <c r="H162" s="73"/>
    </row>
    <row r="163" spans="2:8" x14ac:dyDescent="0.25">
      <c r="B163" s="26"/>
      <c r="C163" s="91" t="s">
        <v>714</v>
      </c>
      <c r="D163" s="670">
        <v>0</v>
      </c>
      <c r="E163" s="659" t="str">
        <f>IF((SUM(D162:D164)=1),"","A soma das porcentagens de distribuição deve ser igual a 100%!")</f>
        <v/>
      </c>
      <c r="F163" s="26"/>
      <c r="G163" s="26"/>
      <c r="H163" s="73"/>
    </row>
    <row r="164" spans="2:8" x14ac:dyDescent="0.25">
      <c r="B164" s="26"/>
      <c r="C164" s="91" t="s">
        <v>894</v>
      </c>
      <c r="D164" s="670">
        <v>0</v>
      </c>
      <c r="E164" s="25"/>
      <c r="F164" s="26"/>
      <c r="G164" s="26"/>
      <c r="H164" s="73"/>
    </row>
    <row r="165" spans="2:8" ht="6" customHeight="1" x14ac:dyDescent="0.25">
      <c r="B165" s="26"/>
      <c r="C165" s="26"/>
      <c r="D165" s="25"/>
      <c r="E165" s="25"/>
      <c r="F165" s="26"/>
      <c r="G165" s="26"/>
      <c r="H165" s="73"/>
    </row>
    <row r="170" spans="2:8" x14ac:dyDescent="0.25">
      <c r="D170" s="85"/>
    </row>
    <row r="171" spans="2:8" x14ac:dyDescent="0.25">
      <c r="D171" s="85"/>
    </row>
    <row r="172" spans="2:8" x14ac:dyDescent="0.25">
      <c r="D172" s="85"/>
    </row>
    <row r="173" spans="2:8" x14ac:dyDescent="0.25">
      <c r="D173" s="85"/>
    </row>
    <row r="174" spans="2:8" x14ac:dyDescent="0.25">
      <c r="D174" s="85"/>
    </row>
    <row r="175" spans="2:8" x14ac:dyDescent="0.25">
      <c r="D175" s="85"/>
    </row>
    <row r="176" spans="2:8" x14ac:dyDescent="0.25">
      <c r="D176" s="85"/>
    </row>
    <row r="177" spans="4:4" x14ac:dyDescent="0.25">
      <c r="D177" s="85"/>
    </row>
    <row r="178" spans="4:4" x14ac:dyDescent="0.25">
      <c r="D178" s="85"/>
    </row>
    <row r="179" spans="4:4" x14ac:dyDescent="0.25">
      <c r="D179" s="85"/>
    </row>
    <row r="180" spans="4:4" x14ac:dyDescent="0.25">
      <c r="D180" s="85"/>
    </row>
    <row r="181" spans="4:4" x14ac:dyDescent="0.25">
      <c r="D181" s="85"/>
    </row>
    <row r="182" spans="4:4" x14ac:dyDescent="0.25">
      <c r="D182" s="85"/>
    </row>
    <row r="183" spans="4:4" x14ac:dyDescent="0.25">
      <c r="D183" s="85"/>
    </row>
    <row r="184" spans="4:4" x14ac:dyDescent="0.25">
      <c r="D184" s="85"/>
    </row>
    <row r="185" spans="4:4" x14ac:dyDescent="0.25">
      <c r="D185" s="85"/>
    </row>
    <row r="186" spans="4:4" x14ac:dyDescent="0.25">
      <c r="D186" s="85"/>
    </row>
    <row r="187" spans="4:4" x14ac:dyDescent="0.25">
      <c r="D187" s="85"/>
    </row>
    <row r="188" spans="4:4" x14ac:dyDescent="0.25">
      <c r="D188" s="85"/>
    </row>
    <row r="189" spans="4:4" x14ac:dyDescent="0.25">
      <c r="D189" s="85"/>
    </row>
    <row r="190" spans="4:4" x14ac:dyDescent="0.25">
      <c r="D190" s="85"/>
    </row>
    <row r="191" spans="4:4" x14ac:dyDescent="0.25">
      <c r="D191" s="85"/>
    </row>
    <row r="192" spans="4:4" x14ac:dyDescent="0.25">
      <c r="D192" s="85"/>
    </row>
    <row r="193" spans="4:4" x14ac:dyDescent="0.25">
      <c r="D193" s="85"/>
    </row>
    <row r="194" spans="4:4" x14ac:dyDescent="0.25">
      <c r="D194" s="85"/>
    </row>
    <row r="195" spans="4:4" x14ac:dyDescent="0.25">
      <c r="D195" s="85"/>
    </row>
    <row r="196" spans="4:4" x14ac:dyDescent="0.25">
      <c r="D196" s="85"/>
    </row>
    <row r="197" spans="4:4" x14ac:dyDescent="0.25">
      <c r="D197" s="85"/>
    </row>
    <row r="198" spans="4:4" x14ac:dyDescent="0.25">
      <c r="D198" s="85"/>
    </row>
    <row r="199" spans="4:4" x14ac:dyDescent="0.25">
      <c r="D199" s="85"/>
    </row>
    <row r="200" spans="4:4" x14ac:dyDescent="0.25">
      <c r="D200" s="85"/>
    </row>
    <row r="201" spans="4:4" x14ac:dyDescent="0.25">
      <c r="D201" s="85"/>
    </row>
    <row r="202" spans="4:4" x14ac:dyDescent="0.25">
      <c r="D202" s="85"/>
    </row>
    <row r="203" spans="4:4" x14ac:dyDescent="0.25">
      <c r="D203" s="85"/>
    </row>
    <row r="204" spans="4:4" x14ac:dyDescent="0.25">
      <c r="D204" s="85"/>
    </row>
    <row r="205" spans="4:4" x14ac:dyDescent="0.25">
      <c r="D205" s="85"/>
    </row>
    <row r="206" spans="4:4" x14ac:dyDescent="0.25">
      <c r="D206" s="85"/>
    </row>
    <row r="207" spans="4:4" x14ac:dyDescent="0.25">
      <c r="D207" s="85"/>
    </row>
    <row r="208" spans="4:4" x14ac:dyDescent="0.25">
      <c r="D208" s="85"/>
    </row>
    <row r="209" spans="4:4" x14ac:dyDescent="0.25">
      <c r="D209" s="85"/>
    </row>
    <row r="210" spans="4:4" x14ac:dyDescent="0.25">
      <c r="D210" s="85"/>
    </row>
    <row r="211" spans="4:4" x14ac:dyDescent="0.25">
      <c r="D211" s="85"/>
    </row>
    <row r="212" spans="4:4" x14ac:dyDescent="0.25">
      <c r="D212" s="85"/>
    </row>
    <row r="213" spans="4:4" x14ac:dyDescent="0.25">
      <c r="D213" s="85"/>
    </row>
    <row r="214" spans="4:4" x14ac:dyDescent="0.25">
      <c r="D214" s="85"/>
    </row>
    <row r="215" spans="4:4" x14ac:dyDescent="0.25">
      <c r="D215" s="85"/>
    </row>
    <row r="216" spans="4:4" x14ac:dyDescent="0.25">
      <c r="D216" s="85"/>
    </row>
    <row r="217" spans="4:4" x14ac:dyDescent="0.25">
      <c r="D217" s="85"/>
    </row>
    <row r="218" spans="4:4" x14ac:dyDescent="0.25">
      <c r="D218" s="85"/>
    </row>
    <row r="219" spans="4:4" x14ac:dyDescent="0.25">
      <c r="D219" s="85"/>
    </row>
    <row r="220" spans="4:4" x14ac:dyDescent="0.25">
      <c r="D220" s="85"/>
    </row>
    <row r="221" spans="4:4" x14ac:dyDescent="0.25">
      <c r="D221" s="85"/>
    </row>
    <row r="222" spans="4:4" x14ac:dyDescent="0.25">
      <c r="D222" s="85"/>
    </row>
    <row r="223" spans="4:4" x14ac:dyDescent="0.25">
      <c r="D223" s="85"/>
    </row>
    <row r="224" spans="4:4" x14ac:dyDescent="0.25">
      <c r="D224" s="85"/>
    </row>
    <row r="225" spans="4:4" x14ac:dyDescent="0.25">
      <c r="D225" s="85"/>
    </row>
    <row r="226" spans="4:4" x14ac:dyDescent="0.25">
      <c r="D226" s="85"/>
    </row>
    <row r="227" spans="4:4" x14ac:dyDescent="0.25">
      <c r="D227" s="85"/>
    </row>
    <row r="228" spans="4:4" x14ac:dyDescent="0.25">
      <c r="D228" s="85"/>
    </row>
    <row r="229" spans="4:4" x14ac:dyDescent="0.25">
      <c r="D229" s="85"/>
    </row>
    <row r="230" spans="4:4" x14ac:dyDescent="0.25">
      <c r="D230" s="85"/>
    </row>
    <row r="231" spans="4:4" x14ac:dyDescent="0.25">
      <c r="D231" s="85"/>
    </row>
    <row r="232" spans="4:4" x14ac:dyDescent="0.25">
      <c r="D232" s="85"/>
    </row>
    <row r="233" spans="4:4" x14ac:dyDescent="0.25">
      <c r="D233" s="85"/>
    </row>
    <row r="234" spans="4:4" x14ac:dyDescent="0.25">
      <c r="D234" s="85"/>
    </row>
    <row r="235" spans="4:4" x14ac:dyDescent="0.25">
      <c r="D235" s="85"/>
    </row>
    <row r="236" spans="4:4" x14ac:dyDescent="0.25">
      <c r="D236" s="85"/>
    </row>
    <row r="237" spans="4:4" x14ac:dyDescent="0.25">
      <c r="D237" s="85"/>
    </row>
    <row r="238" spans="4:4" x14ac:dyDescent="0.25">
      <c r="D238" s="85"/>
    </row>
    <row r="239" spans="4:4" x14ac:dyDescent="0.25">
      <c r="D239" s="85"/>
    </row>
    <row r="240" spans="4:4" x14ac:dyDescent="0.25">
      <c r="D240" s="85"/>
    </row>
    <row r="241" spans="4:4" x14ac:dyDescent="0.25">
      <c r="D241" s="85"/>
    </row>
    <row r="242" spans="4:4" x14ac:dyDescent="0.25">
      <c r="D242" s="85"/>
    </row>
    <row r="243" spans="4:4" x14ac:dyDescent="0.25">
      <c r="D243" s="85"/>
    </row>
    <row r="244" spans="4:4" x14ac:dyDescent="0.25">
      <c r="D244" s="85"/>
    </row>
    <row r="245" spans="4:4" x14ac:dyDescent="0.25">
      <c r="D245" s="85"/>
    </row>
    <row r="246" spans="4:4" x14ac:dyDescent="0.25">
      <c r="D246" s="85"/>
    </row>
    <row r="247" spans="4:4" x14ac:dyDescent="0.25">
      <c r="D247" s="85"/>
    </row>
    <row r="248" spans="4:4" x14ac:dyDescent="0.25">
      <c r="D248" s="85"/>
    </row>
    <row r="249" spans="4:4" x14ac:dyDescent="0.25">
      <c r="D249" s="85"/>
    </row>
    <row r="250" spans="4:4" x14ac:dyDescent="0.25">
      <c r="D250" s="85"/>
    </row>
    <row r="251" spans="4:4" x14ac:dyDescent="0.25">
      <c r="D251" s="85"/>
    </row>
    <row r="252" spans="4:4" x14ac:dyDescent="0.25">
      <c r="D252" s="85"/>
    </row>
    <row r="253" spans="4:4" x14ac:dyDescent="0.25">
      <c r="D253" s="85"/>
    </row>
    <row r="254" spans="4:4" x14ac:dyDescent="0.25">
      <c r="D254" s="85"/>
    </row>
    <row r="255" spans="4:4" x14ac:dyDescent="0.25">
      <c r="D255" s="85"/>
    </row>
    <row r="256" spans="4:4" x14ac:dyDescent="0.25">
      <c r="D256" s="85"/>
    </row>
    <row r="257" spans="4:4" x14ac:dyDescent="0.25">
      <c r="D257" s="85"/>
    </row>
    <row r="258" spans="4:4" x14ac:dyDescent="0.25">
      <c r="D258" s="85"/>
    </row>
    <row r="259" spans="4:4" x14ac:dyDescent="0.25">
      <c r="D259" s="85"/>
    </row>
    <row r="260" spans="4:4" x14ac:dyDescent="0.25">
      <c r="D260" s="85"/>
    </row>
    <row r="261" spans="4:4" x14ac:dyDescent="0.25">
      <c r="D261" s="85"/>
    </row>
    <row r="262" spans="4:4" x14ac:dyDescent="0.25">
      <c r="D262" s="85"/>
    </row>
    <row r="263" spans="4:4" x14ac:dyDescent="0.25">
      <c r="D263" s="85"/>
    </row>
    <row r="264" spans="4:4" x14ac:dyDescent="0.25">
      <c r="D264" s="85"/>
    </row>
    <row r="265" spans="4:4" x14ac:dyDescent="0.25">
      <c r="D265" s="85"/>
    </row>
    <row r="266" spans="4:4" x14ac:dyDescent="0.25">
      <c r="D266" s="85"/>
    </row>
    <row r="267" spans="4:4" x14ac:dyDescent="0.25">
      <c r="D267" s="85"/>
    </row>
    <row r="268" spans="4:4" x14ac:dyDescent="0.25">
      <c r="D268" s="85"/>
    </row>
    <row r="269" spans="4:4" x14ac:dyDescent="0.25">
      <c r="D269" s="85"/>
    </row>
    <row r="270" spans="4:4" x14ac:dyDescent="0.25">
      <c r="D270" s="85"/>
    </row>
    <row r="271" spans="4:4" x14ac:dyDescent="0.25">
      <c r="D271" s="85"/>
    </row>
    <row r="272" spans="4:4" x14ac:dyDescent="0.25">
      <c r="D272" s="85"/>
    </row>
    <row r="273" spans="4:4" x14ac:dyDescent="0.25">
      <c r="D273" s="85"/>
    </row>
    <row r="274" spans="4:4" x14ac:dyDescent="0.25">
      <c r="D274" s="85"/>
    </row>
    <row r="275" spans="4:4" x14ac:dyDescent="0.25">
      <c r="D275" s="85"/>
    </row>
    <row r="276" spans="4:4" x14ac:dyDescent="0.25">
      <c r="D276" s="85"/>
    </row>
    <row r="277" spans="4:4" x14ac:dyDescent="0.25">
      <c r="D277" s="85"/>
    </row>
    <row r="278" spans="4:4" x14ac:dyDescent="0.25">
      <c r="D278" s="85"/>
    </row>
    <row r="279" spans="4:4" x14ac:dyDescent="0.25">
      <c r="D279" s="85"/>
    </row>
    <row r="280" spans="4:4" x14ac:dyDescent="0.25">
      <c r="D280" s="85"/>
    </row>
    <row r="281" spans="4:4" x14ac:dyDescent="0.25">
      <c r="D281" s="85"/>
    </row>
    <row r="282" spans="4:4" x14ac:dyDescent="0.25">
      <c r="D282" s="85"/>
    </row>
    <row r="283" spans="4:4" x14ac:dyDescent="0.25">
      <c r="D283" s="85"/>
    </row>
    <row r="284" spans="4:4" x14ac:dyDescent="0.25">
      <c r="D284" s="85"/>
    </row>
    <row r="285" spans="4:4" x14ac:dyDescent="0.25">
      <c r="D285" s="85"/>
    </row>
    <row r="286" spans="4:4" x14ac:dyDescent="0.25">
      <c r="D286" s="85"/>
    </row>
    <row r="287" spans="4:4" x14ac:dyDescent="0.25">
      <c r="D287" s="85"/>
    </row>
    <row r="288" spans="4:4" x14ac:dyDescent="0.25">
      <c r="D288" s="85"/>
    </row>
    <row r="289" spans="4:4" x14ac:dyDescent="0.25">
      <c r="D289" s="85"/>
    </row>
    <row r="290" spans="4:4" x14ac:dyDescent="0.25">
      <c r="D290" s="85"/>
    </row>
    <row r="291" spans="4:4" x14ac:dyDescent="0.25">
      <c r="D291" s="85"/>
    </row>
    <row r="292" spans="4:4" x14ac:dyDescent="0.25">
      <c r="D292" s="85"/>
    </row>
    <row r="293" spans="4:4" x14ac:dyDescent="0.25">
      <c r="D293" s="85"/>
    </row>
    <row r="294" spans="4:4" x14ac:dyDescent="0.25">
      <c r="D294" s="85"/>
    </row>
    <row r="295" spans="4:4" x14ac:dyDescent="0.25">
      <c r="D295" s="85"/>
    </row>
    <row r="296" spans="4:4" x14ac:dyDescent="0.25">
      <c r="D296" s="85"/>
    </row>
    <row r="297" spans="4:4" x14ac:dyDescent="0.25">
      <c r="D297" s="85"/>
    </row>
    <row r="298" spans="4:4" x14ac:dyDescent="0.25">
      <c r="D298" s="85"/>
    </row>
    <row r="299" spans="4:4" x14ac:dyDescent="0.25">
      <c r="D299" s="85"/>
    </row>
    <row r="300" spans="4:4" x14ac:dyDescent="0.25">
      <c r="D300" s="85"/>
    </row>
    <row r="301" spans="4:4" x14ac:dyDescent="0.25">
      <c r="D301" s="85"/>
    </row>
    <row r="302" spans="4:4" x14ac:dyDescent="0.25">
      <c r="D302" s="85"/>
    </row>
    <row r="303" spans="4:4" x14ac:dyDescent="0.25">
      <c r="D303" s="85"/>
    </row>
    <row r="304" spans="4:4" x14ac:dyDescent="0.25">
      <c r="D304" s="85"/>
    </row>
    <row r="305" spans="4:4" x14ac:dyDescent="0.25">
      <c r="D305" s="85"/>
    </row>
    <row r="306" spans="4:4" x14ac:dyDescent="0.25">
      <c r="D306" s="85"/>
    </row>
    <row r="307" spans="4:4" x14ac:dyDescent="0.25">
      <c r="D307" s="85"/>
    </row>
    <row r="308" spans="4:4" x14ac:dyDescent="0.25">
      <c r="D308" s="85"/>
    </row>
    <row r="309" spans="4:4" x14ac:dyDescent="0.25">
      <c r="D309" s="85"/>
    </row>
    <row r="310" spans="4:4" x14ac:dyDescent="0.25">
      <c r="D310" s="85"/>
    </row>
    <row r="311" spans="4:4" x14ac:dyDescent="0.25">
      <c r="D311" s="85"/>
    </row>
    <row r="312" spans="4:4" x14ac:dyDescent="0.25">
      <c r="D312" s="85"/>
    </row>
    <row r="313" spans="4:4" x14ac:dyDescent="0.25">
      <c r="D313" s="85"/>
    </row>
    <row r="314" spans="4:4" x14ac:dyDescent="0.25">
      <c r="D314" s="85"/>
    </row>
    <row r="315" spans="4:4" x14ac:dyDescent="0.25">
      <c r="D315" s="85"/>
    </row>
    <row r="316" spans="4:4" x14ac:dyDescent="0.25">
      <c r="D316" s="85"/>
    </row>
    <row r="317" spans="4:4" x14ac:dyDescent="0.25">
      <c r="D317" s="85"/>
    </row>
    <row r="318" spans="4:4" x14ac:dyDescent="0.25">
      <c r="D318" s="85"/>
    </row>
    <row r="319" spans="4:4" x14ac:dyDescent="0.25">
      <c r="D319" s="85"/>
    </row>
    <row r="320" spans="4:4" x14ac:dyDescent="0.25">
      <c r="D320" s="85"/>
    </row>
    <row r="321" spans="4:4" x14ac:dyDescent="0.25">
      <c r="D321" s="85"/>
    </row>
    <row r="322" spans="4:4" x14ac:dyDescent="0.25">
      <c r="D322" s="85"/>
    </row>
    <row r="323" spans="4:4" x14ac:dyDescent="0.25">
      <c r="D323" s="85"/>
    </row>
    <row r="324" spans="4:4" x14ac:dyDescent="0.25">
      <c r="D324" s="85"/>
    </row>
    <row r="325" spans="4:4" x14ac:dyDescent="0.25">
      <c r="D325" s="85"/>
    </row>
    <row r="326" spans="4:4" x14ac:dyDescent="0.25">
      <c r="D326" s="85"/>
    </row>
    <row r="327" spans="4:4" x14ac:dyDescent="0.25">
      <c r="D327" s="85"/>
    </row>
    <row r="328" spans="4:4" x14ac:dyDescent="0.25">
      <c r="D328" s="85"/>
    </row>
    <row r="329" spans="4:4" x14ac:dyDescent="0.25">
      <c r="D329" s="85"/>
    </row>
    <row r="330" spans="4:4" x14ac:dyDescent="0.25">
      <c r="D330" s="85"/>
    </row>
    <row r="331" spans="4:4" x14ac:dyDescent="0.25">
      <c r="D331" s="85"/>
    </row>
    <row r="332" spans="4:4" x14ac:dyDescent="0.25">
      <c r="D332" s="85"/>
    </row>
    <row r="333" spans="4:4" x14ac:dyDescent="0.25">
      <c r="D333" s="85"/>
    </row>
    <row r="334" spans="4:4" x14ac:dyDescent="0.25">
      <c r="D334" s="85"/>
    </row>
    <row r="335" spans="4:4" x14ac:dyDescent="0.25">
      <c r="D335" s="85"/>
    </row>
    <row r="336" spans="4:4" x14ac:dyDescent="0.25">
      <c r="D336" s="85"/>
    </row>
    <row r="337" spans="4:4" x14ac:dyDescent="0.25">
      <c r="D337" s="85"/>
    </row>
    <row r="338" spans="4:4" x14ac:dyDescent="0.25">
      <c r="D338" s="85"/>
    </row>
    <row r="339" spans="4:4" x14ac:dyDescent="0.25">
      <c r="D339" s="85"/>
    </row>
    <row r="340" spans="4:4" x14ac:dyDescent="0.25">
      <c r="D340" s="85"/>
    </row>
    <row r="341" spans="4:4" x14ac:dyDescent="0.25">
      <c r="D341" s="85"/>
    </row>
    <row r="342" spans="4:4" x14ac:dyDescent="0.25">
      <c r="D342" s="85"/>
    </row>
    <row r="343" spans="4:4" x14ac:dyDescent="0.25">
      <c r="D343" s="85"/>
    </row>
    <row r="344" spans="4:4" x14ac:dyDescent="0.25">
      <c r="D344" s="85"/>
    </row>
    <row r="345" spans="4:4" x14ac:dyDescent="0.25">
      <c r="D345" s="85"/>
    </row>
    <row r="346" spans="4:4" x14ac:dyDescent="0.25">
      <c r="D346" s="85"/>
    </row>
    <row r="347" spans="4:4" x14ac:dyDescent="0.25">
      <c r="D347" s="85"/>
    </row>
    <row r="348" spans="4:4" x14ac:dyDescent="0.25">
      <c r="D348" s="85"/>
    </row>
    <row r="349" spans="4:4" x14ac:dyDescent="0.25">
      <c r="D349" s="85"/>
    </row>
    <row r="350" spans="4:4" x14ac:dyDescent="0.25">
      <c r="D350" s="85"/>
    </row>
    <row r="351" spans="4:4" x14ac:dyDescent="0.25">
      <c r="D351" s="85"/>
    </row>
    <row r="352" spans="4:4" x14ac:dyDescent="0.25">
      <c r="D352" s="85"/>
    </row>
    <row r="353" spans="4:4" x14ac:dyDescent="0.25">
      <c r="D353" s="85"/>
    </row>
    <row r="354" spans="4:4" x14ac:dyDescent="0.25">
      <c r="D354" s="85"/>
    </row>
    <row r="355" spans="4:4" x14ac:dyDescent="0.25">
      <c r="D355" s="85"/>
    </row>
    <row r="356" spans="4:4" x14ac:dyDescent="0.25">
      <c r="D356" s="85"/>
    </row>
    <row r="357" spans="4:4" x14ac:dyDescent="0.25">
      <c r="D357" s="85"/>
    </row>
    <row r="358" spans="4:4" x14ac:dyDescent="0.25">
      <c r="D358" s="85"/>
    </row>
    <row r="359" spans="4:4" x14ac:dyDescent="0.25">
      <c r="D359" s="85"/>
    </row>
    <row r="360" spans="4:4" x14ac:dyDescent="0.25">
      <c r="D360" s="85"/>
    </row>
    <row r="361" spans="4:4" x14ac:dyDescent="0.25">
      <c r="D361" s="85"/>
    </row>
    <row r="362" spans="4:4" x14ac:dyDescent="0.25">
      <c r="D362" s="85"/>
    </row>
    <row r="363" spans="4:4" x14ac:dyDescent="0.25">
      <c r="D363" s="85"/>
    </row>
    <row r="364" spans="4:4" x14ac:dyDescent="0.25">
      <c r="D364" s="85"/>
    </row>
    <row r="365" spans="4:4" x14ac:dyDescent="0.25">
      <c r="D365" s="85"/>
    </row>
    <row r="366" spans="4:4" x14ac:dyDescent="0.25">
      <c r="D366" s="85"/>
    </row>
    <row r="367" spans="4:4" x14ac:dyDescent="0.25">
      <c r="D367" s="85"/>
    </row>
  </sheetData>
  <sheetProtection password="E2B3" sheet="1" objects="1" scenarios="1" selectLockedCells="1"/>
  <mergeCells count="56">
    <mergeCell ref="D15:F15"/>
    <mergeCell ref="C4:H4"/>
    <mergeCell ref="C6:H6"/>
    <mergeCell ref="C8:H8"/>
    <mergeCell ref="C10:D10"/>
    <mergeCell ref="C13:D13"/>
    <mergeCell ref="AE23:AK23"/>
    <mergeCell ref="B24:H24"/>
    <mergeCell ref="K24:Q24"/>
    <mergeCell ref="T24:Z24"/>
    <mergeCell ref="AE24:AK24"/>
    <mergeCell ref="B23:H23"/>
    <mergeCell ref="K23:Q23"/>
    <mergeCell ref="T23:Z23"/>
    <mergeCell ref="B35:H35"/>
    <mergeCell ref="K35:Q35"/>
    <mergeCell ref="T35:Z35"/>
    <mergeCell ref="AE35:AK35"/>
    <mergeCell ref="T38:Z38"/>
    <mergeCell ref="AE38:AK38"/>
    <mergeCell ref="B43:H43"/>
    <mergeCell ref="K43:Q43"/>
    <mergeCell ref="T43:Z43"/>
    <mergeCell ref="AE43:AK43"/>
    <mergeCell ref="B38:H38"/>
    <mergeCell ref="K38:Q38"/>
    <mergeCell ref="AE61:AK61"/>
    <mergeCell ref="B68:H68"/>
    <mergeCell ref="K68:Q68"/>
    <mergeCell ref="T68:Z68"/>
    <mergeCell ref="AE68:AK68"/>
    <mergeCell ref="C161:E161"/>
    <mergeCell ref="C116:E116"/>
    <mergeCell ref="C121:E121"/>
    <mergeCell ref="C126:E126"/>
    <mergeCell ref="C131:E131"/>
    <mergeCell ref="C136:E136"/>
    <mergeCell ref="B153:H153"/>
    <mergeCell ref="C155:E155"/>
    <mergeCell ref="C160:E160"/>
    <mergeCell ref="C112:E112"/>
    <mergeCell ref="B61:H61"/>
    <mergeCell ref="K61:Q61"/>
    <mergeCell ref="T61:Z61"/>
    <mergeCell ref="B86:H86"/>
    <mergeCell ref="B87:H87"/>
    <mergeCell ref="B101:H101"/>
    <mergeCell ref="B107:H107"/>
    <mergeCell ref="C108:E108"/>
    <mergeCell ref="AN43:AT43"/>
    <mergeCell ref="AN61:AT61"/>
    <mergeCell ref="AN68:AT68"/>
    <mergeCell ref="AN23:AT23"/>
    <mergeCell ref="AN24:AT24"/>
    <mergeCell ref="AN35:AT35"/>
    <mergeCell ref="AN38:AT38"/>
  </mergeCells>
  <conditionalFormatting sqref="D34 V34 V37 M34 V42 V84 M67 V67 M42 M60 M84 M37 D42 D37 D67 D60 D84 AP42 AP67 AP84 AG67 AG84 AG42 D151">
    <cfRule type="expression" dxfId="30" priority="43">
      <formula>$B$23</formula>
    </cfRule>
  </conditionalFormatting>
  <dataValidations xWindow="889" yWindow="593" count="89">
    <dataValidation type="decimal" allowBlank="1" showInputMessage="1" showErrorMessage="1" error="Número inválido. Podem ser preenchidos números com até duas casas decimais." prompt="Corresponde à soma das áreas (referentes à área total anteriormente informada) que sofreram: _x000a_- queima com autorização para colheita_x000a_- queima acidental _x000a_- queima criminosa_x000a_- queima para eliminação de resíduos culturais" sqref="M36" xr:uid="{00000000-0002-0000-0500-000000000000}">
      <formula1>0.01</formula1>
      <formula2>99999999.99</formula2>
    </dataValidation>
    <dataValidation type="decimal" allowBlank="1" showInputMessage="1" showErrorMessage="1" error="Número inválido. Podem ser preenchidos números com até duas casas decimais." prompt="Quantidade anual consumida de calcário dolomítico na área total, dividida pelo valor informado no campo Produção Total Colhida para Moagem" sqref="M40" xr:uid="{00000000-0002-0000-0500-000001000000}">
      <formula1>0</formula1>
      <formula2>99.99</formula2>
    </dataValidation>
    <dataValidation type="decimal" allowBlank="1" showInputMessage="1" showErrorMessage="1" error="Número inválido. " prompt="Refere-se ao percentual do volume de etanol anidro comercializado que é distribuido (distância percorrida da usina até o posto de combustível) via sistema logístico &quot;Rodoviário + Ferroviário&quot;." sqref="D158" xr:uid="{00000000-0002-0000-0500-000002000000}">
      <formula1>0</formula1>
      <formula2>1</formula2>
    </dataValidation>
    <dataValidation type="decimal" allowBlank="1" showInputMessage="1" showErrorMessage="1" error="Número inválido. " prompt="Refere-se ao percentual do volume de etanol anidro comercializado que é distribuido (distância percorrida da usina até o posto de combustível) via sistema logístico &quot;Rodoviário + Dutoviário.&quot;" sqref="D157" xr:uid="{00000000-0002-0000-0500-000003000000}">
      <formula1>0</formula1>
      <formula2>1</formula2>
    </dataValidation>
    <dataValidation type="decimal" allowBlank="1" showInputMessage="1" showErrorMessage="1" error="Número inválido." prompt="Refere-se ao percentual do volume de etanol anidro comercializado que é distribuido (distância percorrida da usina até o posto de combustível) via sistema logístico exclusivamente Rodoviário." sqref="D156" xr:uid="{00000000-0002-0000-0500-000004000000}">
      <formula1>0</formula1>
      <formula2>1</formula2>
    </dataValidation>
    <dataValidation type="decimal" allowBlank="1" showInputMessage="1" showErrorMessage="1" error="Número inválido." prompt="Refere-se ao percentual do volume de etanol hidratado comercializado que é distribuido (distância percorrida da usina até o posto de combustível) via sistema logístico &quot;Rodoviário + Ferroviário&quot;." sqref="D164" xr:uid="{00000000-0002-0000-0500-000005000000}">
      <formula1>0</formula1>
      <formula2>1</formula2>
    </dataValidation>
    <dataValidation type="decimal" allowBlank="1" showInputMessage="1" showErrorMessage="1" error="Número inválido. " prompt="Refere-se ao percentual do volume de etanol hidratado comercializado que é distribuido (distância percorrida da usina até o posto de combustível) via sistema logístico &quot;Rodoviário + Dutoviário.&quot;" sqref="D163" xr:uid="{00000000-0002-0000-0500-000006000000}">
      <formula1>0</formula1>
      <formula2>1</formula2>
    </dataValidation>
    <dataValidation type="decimal" allowBlank="1" showInputMessage="1" showErrorMessage="1" error="Número inválido. " prompt="Refere-se ao percentual do volume de etanol hidratado comercializado que é distribuido (distância percorrida da usina até o posto de combustível) via sistema logístico exclusivamente Rodoviário." sqref="D162" xr:uid="{00000000-0002-0000-0500-000007000000}">
      <formula1>0</formula1>
      <formula2>1</formula2>
    </dataValidation>
    <dataValidation type="decimal" allowBlank="1" showInputMessage="1" showErrorMessage="1" error="Número inválido. " prompt="Teor de umidade:_x000a__x000a_Massa de água / Massa total" sqref="D138 D133 D123" xr:uid="{00000000-0002-0000-0500-000008000000}">
      <formula1>0</formula1>
      <formula2>1</formula2>
    </dataValidation>
    <dataValidation type="decimal" allowBlank="1" showInputMessage="1" showErrorMessage="1" error="Número inválido. Podem ser preenchidos números com até duas casas decimais." prompt="Refere-se à quantidade total de palha recolhida anualmente na área total de produção. Este parâmetro refere-se à palha recolhida separadamente da cana (por exemplo, palha enfardada, palha recolhida por forrageira, entre outros)." sqref="M33" xr:uid="{00000000-0002-0000-0500-000009000000}">
      <formula1>0.01</formula1>
      <formula2>9999.99</formula2>
    </dataValidation>
    <dataValidation type="decimal" allowBlank="1" showInputMessage="1" showErrorMessage="1" error="Número inválido. Podem ser preenchidos números com até duas casas decimais." prompt="Refere-se ao teor médio de impurezas minerais contido na cana." sqref="M32" xr:uid="{00000000-0002-0000-0500-00000A000000}">
      <formula1>0.01</formula1>
      <formula2>999.99</formula2>
    </dataValidation>
    <dataValidation type="decimal" allowBlank="1" showInputMessage="1" showErrorMessage="1" error="Número inválido. Podem ser preenchidos números com até duas casas decimais." prompt="Refere-se ao teor médio de impurezas vegetais contido na cana. Deve ser reportado em base úmida." sqref="M31" xr:uid="{00000000-0002-0000-0500-00000B000000}">
      <formula1>0.01</formula1>
      <formula2>999.99</formula2>
    </dataValidation>
    <dataValidation type="decimal" allowBlank="1" showInputMessage="1" showErrorMessage="1" error="Número inválido. Podem ser preenchidos números com até duas casas decimais." prompt="Quantidade total de produto produzido na área total de produção._x000a_Refere-se ao total anual de cana colhida destinada à moagem (soma de colmos, impurezas vegetais e minerais). Este parâmetro deve ser reportado em base úmida._x000a_" sqref="M29:M30" xr:uid="{00000000-0002-0000-0500-00000C000000}">
      <formula1>0.01</formula1>
      <formula2>99999999.99</formula2>
    </dataValidation>
    <dataValidation type="decimal" allowBlank="1" showInputMessage="1" showErrorMessage="1" error="Número inválido. Podem ser preenchidos números com até duas casas decimais." prompt="Área total da unidade de produção, ou seja, soma das áreas colhida, de produção de mudas, de reforma, de cana de ano e meio e de cana bisada. " sqref="M27" xr:uid="{00000000-0002-0000-0500-00000D000000}">
      <formula1>0.01</formula1>
      <formula2>99999999.99</formula2>
    </dataValidation>
    <dataValidation type="decimal" allowBlank="1" showInputMessage="1" showErrorMessage="1" error="Número inválido. " prompt="Refere-se ao teor médio de umidade das impurezas vegetais." sqref="P31 G31" xr:uid="{00000000-0002-0000-0500-00000E000000}">
      <formula1>0</formula1>
      <formula2>1</formula2>
    </dataValidation>
    <dataValidation type="decimal" allowBlank="1" showInputMessage="1" showErrorMessage="1" error="Número inválido." prompt="No campo BX, X representa o teor de mistura de biodiesel vigente no ano de referência para o preenchimento." sqref="P71" xr:uid="{00000000-0002-0000-0500-00000F000000}">
      <formula1>0</formula1>
      <formula2>1</formula2>
    </dataValidation>
    <dataValidation type="decimal" allowBlank="1" showInputMessage="1" showErrorMessage="1" error="Número inválido. Podem ser preenchidos números com até duas casas decimais." prompt="Quantidade total anual de eletricidade consumida na área total dividida pelo valor informado no campo Produção Total Colhida para Moagem" sqref="M79:M83" xr:uid="{00000000-0002-0000-0500-000010000000}">
      <formula1>0</formula1>
      <formula2>999.99</formula2>
    </dataValidation>
    <dataValidation type="decimal" allowBlank="1" showInputMessage="1" showErrorMessage="1" error="Número inválido. Podem ser preenchidos números com até duas casas decimais." prompt="Quantidade total anual de combustíveis (soma do consumo nas operações agrícolas, irrigação, transportes da cana, palha, vinhaça, torta de filtro, cinzas, deslocamento de pessoas, etc) na área total dividida pelo valor informado no campo Produção Total" sqref="M69:M78" xr:uid="{00000000-0002-0000-0500-000011000000}">
      <formula1>0</formula1>
      <formula2>999.99</formula2>
    </dataValidation>
    <dataValidation type="decimal" allowBlank="1" showInputMessage="1" showErrorMessage="1" error="Número inválido. Podem ser preenchidos números com até duas casas decimais." prompt="Informar a concentração de nitrogênio em cada fonte." sqref="P62:P66" xr:uid="{00000000-0002-0000-0500-000012000000}">
      <formula1>0.01</formula1>
      <formula2>999.99</formula2>
    </dataValidation>
    <dataValidation type="decimal" allowBlank="1" showInputMessage="1" showErrorMessage="1" error="Número inválido. Podem ser preenchidos números com até duas casas decimais." prompt="Quantidade anual consumida de fertilizantes por fonte (vinhaça, torta de filtro, cinzas e fuligem, outros) na área total, dividida pelo valor informado no campo Produção Total Colhida para Moagem" sqref="M62:M66" xr:uid="{00000000-0002-0000-0500-000013000000}">
      <formula1>0</formula1>
      <formula2>9999.99</formula2>
    </dataValidation>
    <dataValidation allowBlank="1" showInputMessage="1" showErrorMessage="1" prompt="Quantidade consumida de cada corretivo (calcário calcítico, calcário dolomítico e gesso agrícola) na área total, dividida pela quantidade de cana." sqref="M40" xr:uid="{00000000-0002-0000-0500-000014000000}"/>
    <dataValidation type="decimal" allowBlank="1" showInputMessage="1" showErrorMessage="1" error="Número inválido." prompt="Refere-se ao teor de umidade do bagaço comercializado." sqref="G99" xr:uid="{00000000-0002-0000-0500-000015000000}">
      <formula1>0</formula1>
      <formula2>1</formula2>
    </dataValidation>
    <dataValidation type="decimal" allowBlank="1" showInputMessage="1" showErrorMessage="1" error="Número inválido." prompt="Refere-se ao teor de umidade do bagaço adquirido de terceiros." sqref="G91" xr:uid="{00000000-0002-0000-0500-000016000000}">
      <formula1>0</formula1>
      <formula2>1</formula2>
    </dataValidation>
    <dataValidation type="list" allowBlank="1" showInputMessage="1" showErrorMessage="1" prompt="Defina o sistema de plantio realizado" sqref="M26" xr:uid="{00000000-0002-0000-0500-000017000000}">
      <formula1>Sistema_Plantio</formula1>
    </dataValidation>
    <dataValidation type="list" allowBlank="1" showErrorMessage="1" sqref="C13:D13" xr:uid="{00000000-0002-0000-0500-000018000000}">
      <formula1>Etanol</formula1>
    </dataValidation>
    <dataValidation type="custom" allowBlank="1" showInputMessage="1" showErrorMessage="1" error="Número inválido. " prompt="Informar o Poder Calorífico Inferior (PCI) do biogás." sqref="G145" xr:uid="{00000000-0002-0000-0500-000019000000}">
      <formula1>IF(AND(G145&lt;=50,G145&gt;=30,G145=ROUND(G145,2)),G145,"")</formula1>
    </dataValidation>
    <dataValidation type="decimal" allowBlank="1" showInputMessage="1" showErrorMessage="1" error="Número inválido. Podem ser preenchidos números com até duas casas decimais." prompt="Quantidade anual consumida de calcário calcítico na área total, dividida pelo valor informado no campo Produção Total Colhida para Moagem" sqref="M39" xr:uid="{00000000-0002-0000-0500-00001A000000}">
      <formula1>0</formula1>
      <formula2>99.99</formula2>
    </dataValidation>
    <dataValidation type="decimal" allowBlank="1" showInputMessage="1" showErrorMessage="1" error="Número inválido. Podem ser preenchidos números com até duas casas decimais." prompt="Quantidade anual consumida de gesso na área total, dividida pelo valor informado no campo Produção Total Colhida para Moagem" sqref="M41" xr:uid="{00000000-0002-0000-0500-00001B000000}">
      <formula1>0</formula1>
      <formula2>99.99</formula2>
    </dataValidation>
    <dataValidation type="decimal" allowBlank="1" showInputMessage="1" showErrorMessage="1" error="Número inválido. Podem ser preenchidos números com até duas casas decimais." prompt="Quantidade anual consumida de  K₂O na área total na forma especificada na coluna à esquerda, dividida pelo valor informado no campo Produção Total Colhida para Moagem" sqref="M56 M59" xr:uid="{00000000-0002-0000-0500-00001C000000}">
      <formula1>0</formula1>
      <formula2>99.99</formula2>
    </dataValidation>
    <dataValidation type="decimal" allowBlank="1" showInputMessage="1" showErrorMessage="1" error="Número inválido. Podem ser preenchidos números com até duas casas decimais." prompt="Quantidade anual consumida de N  na área total na forma especificada na coluna à esquerda, dividida pelo valor informado no campo Produção Total  Colhida para Moagem" sqref="M57" xr:uid="{00000000-0002-0000-0500-00001D000000}">
      <formula1>0</formula1>
      <formula2>99.99</formula2>
    </dataValidation>
    <dataValidation type="decimal" allowBlank="1" showInputMessage="1" showErrorMessage="1" error="Número inválido. Podem ser preenchidos números com até duas casas decimais." prompt="Quantidade anual consumida de  P₂O₅  na área total na forma especificada na coluna à esquerda, dividida pelo valor informado no campo Produção Total Colhida para Moagem" sqref="M58" xr:uid="{00000000-0002-0000-0500-00001E000000}">
      <formula1>0</formula1>
      <formula2>99.99</formula2>
    </dataValidation>
    <dataValidation type="list" showInputMessage="1" showErrorMessage="1" error="Deve ser escolhida uma opção da lista suspensa." prompt="Defina o sistema de plantio realizado." sqref="D26" xr:uid="{00000000-0002-0000-0500-00001F000000}">
      <formula1>Sistema_Plantio</formula1>
    </dataValidation>
    <dataValidation type="decimal" allowBlank="1" showInputMessage="1" showErrorMessage="1" error="Número inválido. Podem ser preenchidos números com até duas casas decimais." prompt="Quantidade anual consumida do elemento N por fonte na área total, dividida pelo valor informado no campo Produção Total Colhida para Moagem." sqref="M44" xr:uid="{00000000-0002-0000-0500-000020000000}">
      <formula1>0</formula1>
      <formula2>99.99</formula2>
    </dataValidation>
    <dataValidation type="decimal" allowBlank="1" showInputMessage="1" showErrorMessage="1" error="Número inválido. Podem ser preenchidos números com até duas casas decimais._x000a_" prompt="Quantidade anual consumida de P₂O₅ por fonte na área total, dividida pelo valor informado no campo Produção Total Colhida para Moagem " sqref="M55" xr:uid="{00000000-0002-0000-0500-000021000000}">
      <formula1>0</formula1>
      <formula2>99.99</formula2>
    </dataValidation>
    <dataValidation type="decimal" allowBlank="1" showInputMessage="1" showErrorMessage="1" error="Número inválido. " prompt="No campo BX, X representa o teor de mistura de biodiesel vigente no ano de referência para o preenchimento." sqref="G71" xr:uid="{00000000-0002-0000-0500-000022000000}">
      <formula1>0</formula1>
      <formula2>1</formula2>
    </dataValidation>
    <dataValidation type="decimal" allowBlank="1" showInputMessage="1" showErrorMessage="1" error="Número inválido. _x000a_" prompt="Refere-se ao teor de umidade do bagaço adquirido de terceiros." sqref="G90" xr:uid="{00000000-0002-0000-0500-000023000000}">
      <formula1>0</formula1>
      <formula2>1</formula2>
    </dataValidation>
    <dataValidation type="decimal" allowBlank="1" showInputMessage="1" showErrorMessage="1" error="Número inválido." prompt="Teor de umidade:_x000a__x000a_Massa de água / Massa total" sqref="D110 D114 D128" xr:uid="{00000000-0002-0000-0500-000024000000}">
      <formula1>0</formula1>
      <formula2>1</formula2>
    </dataValidation>
    <dataValidation type="decimal" allowBlank="1" showInputMessage="1" showErrorMessage="1" error="Número inválido.." prompt="Teor de umidade:_x000a__x000a_Massa de água / Massa total" sqref="D118" xr:uid="{00000000-0002-0000-0500-000025000000}">
      <formula1>0</formula1>
      <formula2>1</formula2>
    </dataValidation>
    <dataValidation type="custom" allowBlank="1" showInputMessage="1" showErrorMessage="1" error="Número inválido." prompt="Informar o Poder Calorífico Inferior (PCI) do biogás." sqref="G144" xr:uid="{00000000-0002-0000-0500-000026000000}">
      <formula1>IF(AND(G144&lt;=50,G144&gt;=30,G144=ROUND(G144,2)),G144,"")</formula1>
    </dataValidation>
    <dataValidation type="decimal" allowBlank="1" showInputMessage="1" showErrorMessage="1" error="Número inválido. Podem ser preenchidos números com até duas casas decimais." prompt="Quantidade anual consumida do elemento N por fonte na área total, dividida pelo valor informado no campo Produção Total Colhida para Moagem" sqref="M49:M53 M47 M45" xr:uid="{00000000-0002-0000-0500-000027000000}">
      <formula1>0</formula1>
      <formula2>99.99</formula2>
    </dataValidation>
    <dataValidation type="decimal" allowBlank="1" showInputMessage="1" showErrorMessage="1" error="Número inválido. Podem ser preenchidos números com até duas casas decimais." prompt="Quantidade anual consumida de P₂O₅ por fonte na área total, dividida pelo valor informado no campo Produção Total Colhida para Moagem " sqref="M54 M48 M46" xr:uid="{00000000-0002-0000-0500-000028000000}">
      <formula1>0</formula1>
      <formula2>99.99</formula2>
    </dataValidation>
    <dataValidation allowBlank="1" showInputMessage="1" showErrorMessage="1" prompt="Esses dados devem ser preenchido de acordo com o resultado obtido na planilha de cadastro de produtores de biomassa." sqref="K23:Q23" xr:uid="{00000000-0002-0000-0500-000029000000}"/>
    <dataValidation type="custom" allowBlank="1" showInputMessage="1" showErrorMessage="1" error="Número inválido. Podem ser preenchidos números com até duas casas decimais._x000a_" prompt="Quantidade total anual de eletricidade consumida dividida pelo valor informado no campo  Quantidade de Cana Processada" sqref="D146:D150" xr:uid="{00000000-0002-0000-0500-00002A000000}">
      <formula1>IF(AND(D146&gt;=0,D146=ROUND(D146,2)),D146,"")</formula1>
    </dataValidation>
    <dataValidation type="custom" allowBlank="1" showInputMessage="1" showErrorMessage="1" error="Número inválido. Podem ser preenchidos números com até duas casas decimais._x000a_" prompt="Área total da unidade de produção, ou seja, soma das áreas colhida, de produção de mudas, de reforma, de cana de ano e meio e de cana bisada. " sqref="D27" xr:uid="{00000000-0002-0000-0500-00002B000000}">
      <formula1>IF(AND(D27&gt;=0,D27=ROUND(D27,2)),D27,"")</formula1>
    </dataValidation>
    <dataValidation type="custom" allowBlank="1" showInputMessage="1" showErrorMessage="1" error="Número inválido. Podem ser preenchidos números com até duas casas decimais._x000a_" prompt="Quantidade total de produto produzido na área total de produção._x000a_Refere-se ao total anual de cana colhida destinada à moagem (soma de colmos, impurezas vegetais e minerais). Este parâmetro deve ser reportado em base úmida._x000a_" sqref="D29" xr:uid="{00000000-0002-0000-0500-00002C000000}">
      <formula1>IF(AND(D29&gt;=0,D29=ROUND(D29,2)),D29,"")</formula1>
    </dataValidation>
    <dataValidation type="custom" allowBlank="1" showInputMessage="1" showErrorMessage="1" error="Número inválido. Podem ser preenchidos números com até duas casas decimais._x000a_" prompt="Refere-se ao teor médio de impurezas vegetais contido na cana. Deve ser reportado em base úmida._x000a_" sqref="D31" xr:uid="{00000000-0002-0000-0500-00002D000000}">
      <formula1>IF(AND(D31&gt;=0,D31=ROUND(D31,2)),D31,"")</formula1>
    </dataValidation>
    <dataValidation type="custom" allowBlank="1" showInputMessage="1" showErrorMessage="1" error="Número inválido. Podem ser preenchidos números com até duas casas decimais._x000a_" prompt="Refere-se ao teor médio de impurezas minerais contido na cana." sqref="D32" xr:uid="{00000000-0002-0000-0500-00002E000000}">
      <formula1>IF(AND(D32&gt;=0,D32=ROUND(D32,2)),D32,"")</formula1>
    </dataValidation>
    <dataValidation type="custom" allowBlank="1" showInputMessage="1" showErrorMessage="1" error="Número inválido. Podem ser preenchidos números com até duas casas decimais._x000a_" prompt="Refere-se à quantidade total de palha recolhida anualmente na área total de produção. Este parâmetro refere-se à palha recolhida separadamente da cana (por exemplo, palha enfardada, palha recolhida por forrageira, entre outros)." sqref="D33" xr:uid="{00000000-0002-0000-0500-00002F000000}">
      <formula1>IF(AND(D33&gt;=0,D33=ROUND(D33,2)),D33,"")</formula1>
    </dataValidation>
    <dataValidation type="custom" allowBlank="1" showInputMessage="1" showErrorMessage="1" error="Número inválido. Podem ser preenchidos números com até duas casas decimais._x000a_" prompt="Corresponde à soma das áreas (referentes à área total anteriormente informada) que sofreram: _x000a_- queima com autorização para colheita_x000a_- queima acidental _x000a_- queima criminosa_x000a_- queima para eliminação de resíduos culturais" sqref="D36" xr:uid="{00000000-0002-0000-0500-000030000000}">
      <formula1>IF(AND(D36&gt;=0,D36=ROUND(D36,2)),D36,"")</formula1>
    </dataValidation>
    <dataValidation type="custom" allowBlank="1" showInputMessage="1" showErrorMessage="1" error="Número inválido. Podem ser preenchidos números com até duas casas decimais._x000a_" prompt="Quantidade anual consumida de calcário calcítico na área total, dividida pelo valor informado no campo Produção Total Colhida para Moagem" sqref="D39:D40" xr:uid="{00000000-0002-0000-0500-000031000000}">
      <formula1>IF(AND(D39&gt;=0,D39=ROUND(D39,2)),D39,"")</formula1>
    </dataValidation>
    <dataValidation type="custom" allowBlank="1" showInputMessage="1" showErrorMessage="1" error="Número inválido. Podem ser preenchidos números com até duas casas decimais._x000a_" prompt="Quantidade anual consumida de gesso na área total, dividida pelo valor informado no campo Produção Total Colhida para Moagem" sqref="D41" xr:uid="{00000000-0002-0000-0500-000032000000}">
      <formula1>IF(AND(D41&gt;=0,D41=ROUND(D41,2)),D41,"")</formula1>
    </dataValidation>
    <dataValidation type="custom" allowBlank="1" showInputMessage="1" showErrorMessage="1" error="Número inválido. Podem ser preenchidos números com até duas casas decimais._x000a_" prompt="Quantidade anual consumida do elemento N por fonte na área total, dividida pelo valor informado no campo Produção Total Colhida para Moagem." sqref="D44:D45 D57" xr:uid="{00000000-0002-0000-0500-000033000000}">
      <formula1>IF(AND(D44&gt;=0,D44=ROUND(D44,2)),D44,"")</formula1>
    </dataValidation>
    <dataValidation type="custom" allowBlank="1" showInputMessage="1" showErrorMessage="1" error="Número inválido. Podem ser preenchidos números com até duas casas decimais._x000a_" prompt="Quantidade anual consumida de P₂O₅ por fonte na área total, dividida pelo valor informado no campo Produção Total Colhida para Moagem " sqref="D46 D48 D54:D55" xr:uid="{00000000-0002-0000-0500-000034000000}">
      <formula1>IF(AND(D46&gt;=0,D46=ROUND(D46,2)),D46,"")</formula1>
    </dataValidation>
    <dataValidation type="custom" allowBlank="1" showInputMessage="1" showErrorMessage="1" error="Número inválido. Podem ser preenchidos números com até duas casas decimais._x000a_" prompt="Quantidade anual consumida de P₂O₅ por fonte na área total, dividida pelo valor informado no campo Produção Total Colhida para Moagem _x000a_" sqref="D58" xr:uid="{00000000-0002-0000-0500-000035000000}">
      <formula1>IF(AND(D58&gt;=0,D58=ROUND(D58,2)),D58,"")</formula1>
    </dataValidation>
    <dataValidation type="custom" allowBlank="1" showInputMessage="1" showErrorMessage="1" error="Número inválido. Podem ser preenchidos números com até duas casas decimais._x000a_" prompt="Quantidade anual consumida do elemento N por fonte na área total, dividida pelo valor informado no campo Produção Total Colhida para Moagem" sqref="D47 D49:D53" xr:uid="{00000000-0002-0000-0500-000036000000}">
      <formula1>IF(AND(D47&gt;=0,D47=ROUND(D47,2)),D47,"")</formula1>
    </dataValidation>
    <dataValidation type="custom" allowBlank="1" showInputMessage="1" showErrorMessage="1" error="Número inválido. Podem ser preenchidos números com até duas casas decimais._x000a_" prompt="Quantidade anual consumida de fertilizantes por fonte (vinhaça, torta de filtro, cinzas e fuligem, outros) na área total, dividida pelo valor informado no campo Produção Total Colhida para Moagem" sqref="D62:D66" xr:uid="{00000000-0002-0000-0500-000037000000}">
      <formula1>IF(AND(D62&gt;=0,D62=ROUND(D62,2)),D62,"")</formula1>
    </dataValidation>
    <dataValidation type="custom" allowBlank="1" showInputMessage="1" showErrorMessage="1" error="Número inválido. Podem ser preenchidos números com até duas casas decimais._x000a_" prompt="Quantidade anual consumida de  K₂O na área total na forma especificada na coluna à esquerda, dividida pelo valor informado no campo Produção Total Colhida para Moagem" sqref="D59 D56" xr:uid="{00000000-0002-0000-0500-000038000000}">
      <formula1>IF(AND(D56&gt;=0,D56=ROUND(D56,2)),D56,"")</formula1>
    </dataValidation>
    <dataValidation type="custom" allowBlank="1" showInputMessage="1" showErrorMessage="1" error="Número inválido. Podem ser preenchidos números com até duas casas decimais._x000a_" prompt="Informar a concentração de nitrogênio em cada fonte." sqref="G62:G66" xr:uid="{00000000-0002-0000-0500-000039000000}">
      <formula1>IF(AND(G62&gt;=0,G62=ROUND(G62,2)),G62,"")</formula1>
    </dataValidation>
    <dataValidation type="custom" allowBlank="1" showInputMessage="1" showErrorMessage="1" error="Número inválido. Podem ser preenchidos números com até duas casas decimais._x000a_" prompt="Quantidade total anual de combustíveis (soma do consumo nas operações agrícolas, irrigação, transportes da cana, palha, vinhaça, torta de filtro, cinzas, deslocamento de pessoas, etc) na área total dividida pelo valor informado no campo Produção Total" sqref="D69:D78" xr:uid="{00000000-0002-0000-0500-00003A000000}">
      <formula1>IF(AND(D69&gt;=0,D69=ROUND(D69,2)),D69,"")</formula1>
    </dataValidation>
    <dataValidation type="custom" allowBlank="1" showInputMessage="1" showErrorMessage="1" error="Número inválido. Podem ser preenchidos números com até duas casas decimais._x000a_" prompt="Quantidade total anual de eletricidade consumida na área total dividida pelo valor informado no campo Produção Total Colhida para Moagem" sqref="D79:D83" xr:uid="{00000000-0002-0000-0500-00003B000000}">
      <formula1>IF(AND(D79&gt;=0,D79=ROUND(D79,2)),D79,"")</formula1>
    </dataValidation>
    <dataValidation type="custom" allowBlank="1" showInputMessage="1" showErrorMessage="1" error="Número inválido. Podem ser preenchidos números com até duas casas decimais._x000a_" prompt="Quantidade total anual de cana que chega na usina (soma de colmos, impurezas vegetais e minerais). Este parâmetro deve ser reportado em base úmida." sqref="D88" xr:uid="{00000000-0002-0000-0500-00003C000000}">
      <formula1>IF(AND(D88&gt;=0,D88=ROUND(D88,2)),D88,"")</formula1>
    </dataValidation>
    <dataValidation type="custom" allowBlank="1" showInputMessage="1" showErrorMessage="1" error="Número inválido. Podem ser preenchidos números com até duas casas decimais._x000a_" prompt="Quantidade total anual de palha processada na usina. Este parâmetro refere-se à palha recolhida separadamente da cana (por exemplo, palha enfardada, palha recolhida por forrageira, entre outros). Deve ser reportado em base seca." sqref="D89" xr:uid="{00000000-0002-0000-0500-00003D000000}">
      <formula1>IF(AND(D89&gt;=0,D89=ROUND(D89,2)),D89,"")</formula1>
    </dataValidation>
    <dataValidation type="custom" allowBlank="1" showInputMessage="1" showErrorMessage="1" error="Número inválido. Podem ser preenchidos números com até duas casas decimais._x000a_" prompt="Refere-se à quantidade total de bagaço próprio processado anualmente. Deve ser reportado em base úmida." sqref="D90" xr:uid="{00000000-0002-0000-0500-00003E000000}">
      <formula1>IF(AND(D90&gt;=0,D90=ROUND(D90,2)),D90,"")</formula1>
    </dataValidation>
    <dataValidation type="custom" allowBlank="1" showInputMessage="1" showErrorMessage="1" error="Número inválido. Podem ser preenchidos números com até duas casas decimais._x000a_" prompt="Refere-se à quantidade total de bagaço de terceiros processado anualmente. Deve ser reportado em base úmida." sqref="D91" xr:uid="{00000000-0002-0000-0500-00003F000000}">
      <formula1>IF(AND(D91&gt;=0,D91=ROUND(D91,2)),D91,"")</formula1>
    </dataValidation>
    <dataValidation type="custom" allowBlank="1" showInputMessage="1" showErrorMessage="1" error="Número inválido. Podem ser preenchidos números com até duas casas decimais._x000a_" prompt="Refere-se à distância média ponderada de transporte do bagaço entre o fornecedor e a usina." sqref="D119 D92" xr:uid="{00000000-0002-0000-0500-000040000000}">
      <formula1>IF(AND(D92&gt;=0,D92=ROUND(D92,2)),D92,"")</formula1>
    </dataValidation>
    <dataValidation type="custom" allowBlank="1" showInputMessage="1" showErrorMessage="1" error="Número inválido. Podem ser preenchidos números com até duas casas decimais._x000a_" prompt="Refere-se à quantidade total de palha processada anualmente, ou seja, palha enfardada e/ou palha recolhida por forageira." sqref="D93" xr:uid="{00000000-0002-0000-0500-000041000000}">
      <formula1>IF(AND(D93&gt;=0,D93=ROUND(D93,2)),D93,"")</formula1>
    </dataValidation>
    <dataValidation type="custom" allowBlank="1" showInputMessage="1" showErrorMessage="1" error="Número inválido. Podem ser preenchidos números com até duas casas decimais._x000a_" prompt="Refere-se à distância média ponderada de transporte da palha entre o fornecedor e a usina." sqref="D124 D94" xr:uid="{00000000-0002-0000-0500-000042000000}">
      <formula1>IF(AND(D94&gt;=0,D94=ROUND(D94,2)),D94,"")</formula1>
    </dataValidation>
    <dataValidation type="custom" allowBlank="1" showInputMessage="1" showErrorMessage="1" error="Número inválido. Podem ser preenchidos números com até duas casas decimais._x000a_" prompt="Refere-se ao volume total (corrigido para a temperatura de 20 °C) de etanol anidro produzido anualmente dividido pela quantidade de cana processada." sqref="D95" xr:uid="{00000000-0002-0000-0500-000043000000}">
      <formula1>IF(AND(D95&gt;=0,D95=ROUND(D95,2)),D95,"")</formula1>
    </dataValidation>
    <dataValidation type="custom" allowBlank="1" showInputMessage="1" showErrorMessage="1" error="Número inválido. Podem ser preenchidos números com até duas casas decimais._x000a_" prompt="Refere-se ao volume total (corrigido para a temperatura de 20 °C) de etanol hidratado produzido anualmente dividido pela quantidade de cana processada." sqref="D96" xr:uid="{00000000-0002-0000-0500-000044000000}">
      <formula1>IF(AND(D96&gt;=0,D96=ROUND(D96,2)),D96,"")</formula1>
    </dataValidation>
    <dataValidation type="custom" allowBlank="1" showInputMessage="1" showErrorMessage="1" error="Número inválido. Podem ser preenchidos números com até duas casas decimais._x000a_" prompt="Refere-se à massa total de açúcar produzido anualmente dividida pela quantidade de cana processada. " sqref="D97" xr:uid="{00000000-0002-0000-0500-000045000000}">
      <formula1>IF(AND(D97&gt;=0,D97=ROUND(D97,2)),D97,"")</formula1>
    </dataValidation>
    <dataValidation type="custom" allowBlank="1" showInputMessage="1" showErrorMessage="1" error="Número inválido. Podem ser preenchidos números com até duas casas decimais._x000a_" prompt="Refere-se à quantidade total de eletricidade comercializada anualmente dividida pela quantidade de cana processada." sqref="D98" xr:uid="{00000000-0002-0000-0500-000046000000}">
      <formula1>IF(AND(D98&gt;=0,D98=ROUND(D98,2)),D98,"")</formula1>
    </dataValidation>
    <dataValidation type="custom" allowBlank="1" showInputMessage="1" showErrorMessage="1" error="Número inválido. Podem ser preenchidos números com até duas casas decimais._x000a_" prompt="Refere-se à quantidade total de bagaço comercializado anualmente dividido pela quantidade pela quantidade de cana processada. Deve ser reportado em base úmida e reportado o respectivo teor de umidade." sqref="D99" xr:uid="{00000000-0002-0000-0500-000047000000}">
      <formula1>IF(AND(D99&gt;=0,D99=ROUND(D99,2)),D99,"")</formula1>
    </dataValidation>
    <dataValidation type="custom" allowBlank="1" showInputMessage="1" showErrorMessage="1" error="Número inválido. Podem ser preenchidos números com até duas casas decimais._x000a_" prompt="Refere-se à quantidade total anual de enzimas consumidas no processo dividida pela quantidade total anual de cana processada. " sqref="D102" xr:uid="{00000000-0002-0000-0500-000048000000}">
      <formula1>IF(AND(D102&gt;=0,D102=ROUND(D102,2)),D102,"")</formula1>
    </dataValidation>
    <dataValidation type="custom" allowBlank="1" showInputMessage="1" showErrorMessage="1" error="Número inválido. Podem ser preenchidos números com até duas casas decimais._x000a_" prompt="Refere-se à quantidade total anual de ácido sulfúrico utilidado no pré-tratamento dividida pela quantidade total anual de cana processada. " sqref="D103" xr:uid="{00000000-0002-0000-0500-000049000000}">
      <formula1>IF(AND(D103&gt;=0,D103=ROUND(D103,2)),D103,"")</formula1>
    </dataValidation>
    <dataValidation type="custom" allowBlank="1" showInputMessage="1" showErrorMessage="1" error="Número inválido. Podem ser preenchidos números com até duas casas decimais._x000a_" prompt="Refere-se à quantidade total anual de amônia utilidada no pré-tratamento dividida pela quantidade total anual de cana processada. " sqref="D104" xr:uid="{00000000-0002-0000-0500-00004A000000}">
      <formula1>IF(AND(D104&gt;=0,D104=ROUND(D104,2)),D104,"")</formula1>
    </dataValidation>
    <dataValidation type="custom" allowBlank="1" showInputMessage="1" showErrorMessage="1" error="Número inválido. Podem ser preenchidos números com até duas casas decimais._x000a_" prompt="Refere-se à quantidade total anual de hidróxido de sódio utilizado no pré-tratamento dividida pela quantidade total anual de cana processada. " sqref="D105" xr:uid="{00000000-0002-0000-0500-00004B000000}">
      <formula1>IF(AND(D105&gt;=0,D105=ROUND(D105,2)),D105,"")</formula1>
    </dataValidation>
    <dataValidation type="custom" allowBlank="1" showInputMessage="1" showErrorMessage="1" error="Número inválido. Podem ser preenchidos números com até duas casas decimais._x000a_" prompt="Refere-se à quantidade total de bagaço produzido na usina anualmente utilizado para geração de vapor/eletricidade, dividido pela quantidade de cana processada. Deve ser reportado em base úmida." sqref="D109" xr:uid="{00000000-0002-0000-0500-00004C000000}">
      <formula1>IF(AND(D109&gt;=0,D109=ROUND(D109,2)),D109,"")</formula1>
    </dataValidation>
    <dataValidation type="custom" allowBlank="1" showInputMessage="1" showErrorMessage="1" error="Número inválido. Podem ser preenchidos números com até duas casas decimais._x000a_" prompt="Refere-se à quantidade total anual de palha produzida na usina utilizada para geração de vapor/eletricidade, dividida pela quantidade de cana processada. Deve ser reportada em base úmida." sqref="D113" xr:uid="{00000000-0002-0000-0500-00004D000000}">
      <formula1>IF(AND(D113&gt;=0,D113=ROUND(D113,2)),D113,"")</formula1>
    </dataValidation>
    <dataValidation type="custom" allowBlank="1" showInputMessage="1" showErrorMessage="1" error="Número inválido. Podem ser preenchidos números com até duas casas decimais._x000a_" prompt="Refere-se à quantidade total anual de bagaço adquirido pela usina e utilizado para geração de vapor/eletricidade, dividido pela quantidade de cana processada. Deve ser reportado em base úmida." sqref="D117" xr:uid="{00000000-0002-0000-0500-00004E000000}">
      <formula1>IF(AND(D117&gt;=0,D117=ROUND(D117,2)),D117,"")</formula1>
    </dataValidation>
    <dataValidation type="custom" allowBlank="1" showInputMessage="1" showErrorMessage="1" error="Número inválido. Podem ser preenchidos números com até duas casas decimais._x000a_" prompt="Refere-se à quantidade total anual de palha adquirida pela usina e utilizada para geração de vapor/eletricidade, dividida pela quantidade de cana processada. Deve ser reportada em base úmida." sqref="D122" xr:uid="{00000000-0002-0000-0500-00004F000000}">
      <formula1>IF(AND(D122&gt;=0,D122=ROUND(D122,2)),D122,"")</formula1>
    </dataValidation>
    <dataValidation type="custom" allowBlank="1" showInputMessage="1" showErrorMessage="1" error="Número inválido. Podem ser preenchidos números com até duas casas decimais._x000a_" prompt="Refere-se à quantidade total anual de cavaco de madeira adquirido pela usina e utilizado para geração de vapor/eletricidade, dividido pela quantidade de cana processada. Deve ser reportado em base úmida." sqref="D127" xr:uid="{00000000-0002-0000-0500-000050000000}">
      <formula1>IF(AND(D127&gt;=0,D127=ROUND(D127,2)),D127,"")</formula1>
    </dataValidation>
    <dataValidation type="custom" allowBlank="1" showInputMessage="1" showErrorMessage="1" error="Número inválido. Podem ser preenchidos números com até duas casas decimais._x000a_" prompt="Refere-se à distância média ponderada de transporte do cavaco de madeira entre o fornecedor e a usina." sqref="D129" xr:uid="{00000000-0002-0000-0500-000051000000}">
      <formula1>IF(AND(D129&gt;=0,D129=ROUND(D129,2)),D129,"")</formula1>
    </dataValidation>
    <dataValidation type="custom" allowBlank="1" showInputMessage="1" showErrorMessage="1" error="Número inválido. Podem ser preenchidos números com até duas casas decimais._x000a_" prompt="Refere-se à quantidade total anual de lenha adquirida pela usina e utilizado para geração de vapor/eletricidade, dividido pela quantidade de cana processada. Deve ser reportado em base úmida." sqref="D132" xr:uid="{00000000-0002-0000-0500-000052000000}">
      <formula1>IF(AND(D132&gt;=0,D132=ROUND(D132,2)),D132,"")</formula1>
    </dataValidation>
    <dataValidation type="custom" allowBlank="1" showInputMessage="1" showErrorMessage="1" error="Número inválido. Podem ser preenchidos números com até duas casas decimais._x000a_" prompt="Refere-se à distância média ponderada de transporte da lenha entre o fornecedor e a usina." sqref="D134" xr:uid="{00000000-0002-0000-0500-000053000000}">
      <formula1>IF(AND(D134&gt;=0,D134=ROUND(D134,2)),D134,"")</formula1>
    </dataValidation>
    <dataValidation type="custom" allowBlank="1" showInputMessage="1" showErrorMessage="1" error="Número inválido. Podem ser preenchidos números com até duas casas decimais._x000a_" prompt="Refere-se à quantidade total anual de resíduos florestais adquirida pela usina e utilizado para geração de vapor/eletricidade, dividido pela quantidade de cana processada. Deve ser reportado em base úmida." sqref="D137" xr:uid="{00000000-0002-0000-0500-000054000000}">
      <formula1>IF(AND(D137&gt;=0,D137=ROUND(D137,2)),D137,"")</formula1>
    </dataValidation>
    <dataValidation type="custom" allowBlank="1" showInputMessage="1" showErrorMessage="1" error="Número inválido. Podem ser preenchidos números com até duas casas decimais._x000a_" prompt="Refere-se à distância média ponderada de transporte dos resíduos florestais entre o fornecedor e a usina." sqref="D139" xr:uid="{00000000-0002-0000-0500-000055000000}">
      <formula1>IF(AND(D139&gt;=0,D139=ROUND(D139,2)),D139,"")</formula1>
    </dataValidation>
    <dataValidation type="custom" allowBlank="1" showInputMessage="1" showErrorMessage="1" error="Número inválido. Podem ser preenchidos números com até duas casas decimais._x000a_" prompt="Quantidade total anual de combustíveis consumidos dividida pelo valor informado no campo Quantidade de Cana Processada." sqref="D141:D143 D145" xr:uid="{00000000-0002-0000-0500-000056000000}">
      <formula1>IF(AND(D141&gt;=0,D141=ROUND(D141,2)),D141,"")</formula1>
    </dataValidation>
    <dataValidation type="custom" allowBlank="1" showInputMessage="1" showErrorMessage="1" error="Número inválido. Podem ser preenchidos números com até duas casas decimais._x000a_" prompt="Quantidade total anual de combustíveis consumidos dividida pelo valor informado no campo Quantidade de Cana Processada. Biogás/biometano próprio refere-se aqueles produzidos usando resíduos disponíveis na mesma unidade de produção. " sqref="D144" xr:uid="{00000000-0002-0000-0500-000057000000}">
      <formula1>IF(AND(D144&gt;=0,D144=ROUND(D144,2)),D144,"")</formula1>
    </dataValidation>
    <dataValidation allowBlank="1" showErrorMessage="1" sqref="D30" xr:uid="{00000000-0002-0000-0500-000058000000}"/>
  </dataValidations>
  <pageMargins left="0.511811024" right="0.511811024" top="0.78740157499999996" bottom="0.78740157499999996" header="0.31496062000000002" footer="0.31496062000000002"/>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34">
    <tabColor rgb="FF265EAA"/>
  </sheetPr>
  <dimension ref="A2:J327"/>
  <sheetViews>
    <sheetView showGridLines="0" workbookViewId="0">
      <selection activeCell="H8" sqref="H8"/>
    </sheetView>
  </sheetViews>
  <sheetFormatPr defaultColWidth="9.140625" defaultRowHeight="15" outlineLevelRow="1" x14ac:dyDescent="0.25"/>
  <cols>
    <col min="1" max="1" width="5.7109375" style="71" customWidth="1"/>
    <col min="2" max="2" width="50.7109375" style="70" customWidth="1"/>
    <col min="3" max="4" width="15.7109375" style="70" customWidth="1"/>
    <col min="5" max="5" width="15.7109375" style="71" customWidth="1"/>
    <col min="6" max="6" width="15.7109375" style="230" customWidth="1"/>
    <col min="7" max="7" width="2.7109375" style="230" customWidth="1"/>
    <col min="8" max="8" width="17" style="70" customWidth="1"/>
    <col min="9" max="9" width="18.28515625" style="71" bestFit="1" customWidth="1"/>
    <col min="10" max="16384" width="9.140625" style="70"/>
  </cols>
  <sheetData>
    <row r="2" spans="1:9" ht="25.5" customHeight="1" x14ac:dyDescent="0.25">
      <c r="B2" s="741" t="s">
        <v>537</v>
      </c>
      <c r="C2" s="741"/>
      <c r="D2" s="741"/>
      <c r="E2" s="741"/>
      <c r="F2" s="741"/>
      <c r="G2" s="453"/>
    </row>
    <row r="3" spans="1:9" x14ac:dyDescent="0.25">
      <c r="B3" s="279"/>
      <c r="C3" s="739" t="s">
        <v>179</v>
      </c>
      <c r="D3" s="739"/>
      <c r="E3" s="739" t="s">
        <v>177</v>
      </c>
      <c r="F3" s="739"/>
      <c r="G3" s="583"/>
    </row>
    <row r="4" spans="1:9" ht="18.600000000000001" customHeight="1" x14ac:dyDescent="0.25">
      <c r="B4" s="307" t="s">
        <v>536</v>
      </c>
      <c r="C4" s="738" t="e">
        <f>C5+C6+C7+C8</f>
        <v>#DIV/0!</v>
      </c>
      <c r="D4" s="738"/>
      <c r="E4" s="738" t="e">
        <f>E5+E6+E7+E8</f>
        <v>#DIV/0!</v>
      </c>
      <c r="F4" s="738"/>
      <c r="G4" s="584"/>
    </row>
    <row r="5" spans="1:9" x14ac:dyDescent="0.25">
      <c r="B5" s="273" t="s">
        <v>180</v>
      </c>
      <c r="C5" s="237" t="e">
        <f>$H$86</f>
        <v>#DIV/0!</v>
      </c>
      <c r="D5" s="258" t="e">
        <f>C5/$C$4</f>
        <v>#DIV/0!</v>
      </c>
      <c r="E5" s="237" t="e">
        <f>$I$86</f>
        <v>#DIV/0!</v>
      </c>
      <c r="F5" s="258" t="e">
        <f>E5/$E$4</f>
        <v>#DIV/0!</v>
      </c>
      <c r="G5" s="585"/>
    </row>
    <row r="6" spans="1:9" x14ac:dyDescent="0.25">
      <c r="B6" s="273" t="s">
        <v>181</v>
      </c>
      <c r="C6" s="237" t="e">
        <f>($H$152-$H$97)</f>
        <v>#DIV/0!</v>
      </c>
      <c r="D6" s="258" t="e">
        <f>C6/$C$4</f>
        <v>#DIV/0!</v>
      </c>
      <c r="E6" s="237" t="e">
        <f>($I$152-$I$97)</f>
        <v>#DIV/0!</v>
      </c>
      <c r="F6" s="258" t="e">
        <f>E6/$E$4</f>
        <v>#DIV/0!</v>
      </c>
      <c r="G6" s="585"/>
    </row>
    <row r="7" spans="1:9" x14ac:dyDescent="0.25">
      <c r="B7" s="273" t="s">
        <v>170</v>
      </c>
      <c r="C7" s="237" t="e">
        <f>$D$182</f>
        <v>#DIV/0!</v>
      </c>
      <c r="D7" s="258" t="e">
        <f>C7/$C$4</f>
        <v>#DIV/0!</v>
      </c>
      <c r="E7" s="237" t="e">
        <f>$E$182</f>
        <v>#DIV/0!</v>
      </c>
      <c r="F7" s="258" t="e">
        <f>E7/$E$4</f>
        <v>#DIV/0!</v>
      </c>
      <c r="G7" s="585"/>
    </row>
    <row r="8" spans="1:9" x14ac:dyDescent="0.25">
      <c r="B8" s="273" t="s">
        <v>63</v>
      </c>
      <c r="C8" s="237">
        <f>'FE''s queima combustíveis'!$I$7</f>
        <v>0.43899999999999995</v>
      </c>
      <c r="D8" s="258" t="e">
        <f>C8/$C$4</f>
        <v>#DIV/0!</v>
      </c>
      <c r="E8" s="237">
        <f>'FE''s queima combustíveis'!$I$8</f>
        <v>0.66300000000000003</v>
      </c>
      <c r="F8" s="258" t="e">
        <f>E8/$E$4</f>
        <v>#DIV/0!</v>
      </c>
      <c r="G8" s="585"/>
    </row>
    <row r="11" spans="1:9" ht="22.5" customHeight="1" x14ac:dyDescent="0.25">
      <c r="A11" s="230"/>
      <c r="B11" s="741" t="s">
        <v>501</v>
      </c>
      <c r="C11" s="741"/>
      <c r="D11" s="741"/>
      <c r="E11" s="741"/>
      <c r="F11" s="741"/>
      <c r="G11" s="453"/>
      <c r="H11" s="740" t="s">
        <v>936</v>
      </c>
      <c r="I11" s="740" t="s">
        <v>937</v>
      </c>
    </row>
    <row r="12" spans="1:9" ht="18" x14ac:dyDescent="0.25">
      <c r="A12" s="230"/>
      <c r="B12" s="279" t="s">
        <v>510</v>
      </c>
      <c r="C12" s="306"/>
      <c r="D12" s="306" t="s">
        <v>51</v>
      </c>
      <c r="E12" s="306" t="s">
        <v>507</v>
      </c>
      <c r="F12" s="306"/>
      <c r="G12" s="583"/>
      <c r="H12" s="740"/>
      <c r="I12" s="740"/>
    </row>
    <row r="13" spans="1:9" x14ac:dyDescent="0.25">
      <c r="A13" s="230"/>
      <c r="B13" s="273" t="s">
        <v>414</v>
      </c>
      <c r="C13" s="273" t="s">
        <v>1</v>
      </c>
      <c r="D13" s="247" t="e">
        <f>(E1G2G!V29/E1G2G!V27)*1000</f>
        <v>#DIV/0!</v>
      </c>
      <c r="E13" s="232">
        <v>1000</v>
      </c>
      <c r="F13" s="233"/>
      <c r="G13" s="586"/>
      <c r="H13" s="740"/>
      <c r="I13" s="740"/>
    </row>
    <row r="14" spans="1:9" ht="18" x14ac:dyDescent="0.25">
      <c r="A14" s="230"/>
      <c r="B14" s="281" t="s">
        <v>511</v>
      </c>
      <c r="C14" s="306"/>
      <c r="D14" s="306" t="s">
        <v>51</v>
      </c>
      <c r="E14" s="306" t="s">
        <v>507</v>
      </c>
      <c r="F14" s="282"/>
      <c r="G14" s="587"/>
      <c r="H14" s="740"/>
      <c r="I14" s="740"/>
    </row>
    <row r="15" spans="1:9" x14ac:dyDescent="0.25">
      <c r="A15" s="230"/>
      <c r="B15" s="273" t="s">
        <v>413</v>
      </c>
      <c r="C15" s="273" t="s">
        <v>36</v>
      </c>
      <c r="D15" s="232">
        <v>1</v>
      </c>
      <c r="E15" s="235" t="e">
        <f>(D15*E13)/D13</f>
        <v>#DIV/0!</v>
      </c>
      <c r="F15" s="236"/>
      <c r="G15" s="588"/>
      <c r="H15" s="740"/>
      <c r="I15" s="740"/>
    </row>
    <row r="16" spans="1:9" ht="18" x14ac:dyDescent="0.25">
      <c r="A16" s="230"/>
      <c r="B16" s="281" t="s">
        <v>60</v>
      </c>
      <c r="C16" s="306"/>
      <c r="D16" s="306" t="s">
        <v>51</v>
      </c>
      <c r="E16" s="306" t="s">
        <v>507</v>
      </c>
      <c r="F16" s="283" t="s">
        <v>508</v>
      </c>
      <c r="G16" s="272"/>
      <c r="H16" s="283" t="s">
        <v>535</v>
      </c>
      <c r="I16" s="283" t="s">
        <v>535</v>
      </c>
    </row>
    <row r="17" spans="1:9" x14ac:dyDescent="0.25">
      <c r="A17" s="230"/>
      <c r="B17" s="284" t="s">
        <v>419</v>
      </c>
      <c r="C17" s="285"/>
      <c r="D17" s="285"/>
      <c r="E17" s="286"/>
      <c r="F17" s="287"/>
      <c r="G17" s="589"/>
      <c r="H17" s="287"/>
      <c r="I17" s="287"/>
    </row>
    <row r="18" spans="1:9" x14ac:dyDescent="0.25">
      <c r="A18" s="230"/>
      <c r="B18" s="273" t="s">
        <v>164</v>
      </c>
      <c r="C18" s="273" t="s">
        <v>1</v>
      </c>
      <c r="D18" s="232"/>
      <c r="E18" s="237">
        <f>E1G2G!V39</f>
        <v>0</v>
      </c>
      <c r="F18" s="238">
        <f>E18*'Dados auxiliares'!$H$52</f>
        <v>0</v>
      </c>
      <c r="G18" s="590"/>
      <c r="H18" s="294" t="e">
        <f t="shared" ref="H18:H40" si="0">(F18/$E$91)*$F$91</f>
        <v>#DIV/0!</v>
      </c>
      <c r="I18" s="294" t="e">
        <f t="shared" ref="I18:I40" si="1">(F18/$E$92)*$F$92</f>
        <v>#DIV/0!</v>
      </c>
    </row>
    <row r="19" spans="1:9" x14ac:dyDescent="0.25">
      <c r="A19" s="230"/>
      <c r="B19" s="273" t="s">
        <v>163</v>
      </c>
      <c r="C19" s="273" t="s">
        <v>1</v>
      </c>
      <c r="D19" s="232"/>
      <c r="E19" s="237">
        <f>E1G2G!V40</f>
        <v>0</v>
      </c>
      <c r="F19" s="238">
        <f>E19*'Dados auxiliares'!$H$53</f>
        <v>0</v>
      </c>
      <c r="G19" s="590"/>
      <c r="H19" s="294" t="e">
        <f t="shared" si="0"/>
        <v>#DIV/0!</v>
      </c>
      <c r="I19" s="294" t="e">
        <f t="shared" si="1"/>
        <v>#DIV/0!</v>
      </c>
    </row>
    <row r="20" spans="1:9" x14ac:dyDescent="0.25">
      <c r="A20" s="230"/>
      <c r="B20" s="273" t="s">
        <v>28</v>
      </c>
      <c r="C20" s="273" t="s">
        <v>1</v>
      </c>
      <c r="D20" s="232"/>
      <c r="E20" s="237">
        <f>E1G2G!V41</f>
        <v>0</v>
      </c>
      <c r="F20" s="238">
        <f>E20*'Dados auxiliares'!$H$54</f>
        <v>0</v>
      </c>
      <c r="G20" s="590"/>
      <c r="H20" s="294" t="e">
        <f t="shared" si="0"/>
        <v>#DIV/0!</v>
      </c>
      <c r="I20" s="294" t="e">
        <f t="shared" si="1"/>
        <v>#DIV/0!</v>
      </c>
    </row>
    <row r="21" spans="1:9" x14ac:dyDescent="0.25">
      <c r="A21" s="230"/>
      <c r="B21" s="273" t="s">
        <v>393</v>
      </c>
      <c r="C21" s="273" t="s">
        <v>409</v>
      </c>
      <c r="D21" s="232"/>
      <c r="E21" s="237">
        <f>E1G2G!V44</f>
        <v>0</v>
      </c>
      <c r="F21" s="238">
        <f>E21*'Dados auxiliares'!$H$55</f>
        <v>0</v>
      </c>
      <c r="G21" s="590"/>
      <c r="H21" s="294" t="e">
        <f t="shared" si="0"/>
        <v>#DIV/0!</v>
      </c>
      <c r="I21" s="294" t="e">
        <f t="shared" si="1"/>
        <v>#DIV/0!</v>
      </c>
    </row>
    <row r="22" spans="1:9" x14ac:dyDescent="0.25">
      <c r="A22" s="230"/>
      <c r="B22" s="273" t="s">
        <v>551</v>
      </c>
      <c r="C22" s="273" t="s">
        <v>409</v>
      </c>
      <c r="D22" s="232"/>
      <c r="E22" s="237">
        <f>E1G2G!V45</f>
        <v>0</v>
      </c>
      <c r="F22" s="238">
        <f>E22*'Dados auxiliares'!$H$56</f>
        <v>0</v>
      </c>
      <c r="G22" s="590"/>
      <c r="H22" s="294" t="e">
        <f t="shared" si="0"/>
        <v>#DIV/0!</v>
      </c>
      <c r="I22" s="294" t="e">
        <f t="shared" si="1"/>
        <v>#DIV/0!</v>
      </c>
    </row>
    <row r="23" spans="1:9" x14ac:dyDescent="0.25">
      <c r="A23" s="230"/>
      <c r="B23" s="273" t="s">
        <v>558</v>
      </c>
      <c r="C23" s="273" t="s">
        <v>410</v>
      </c>
      <c r="D23" s="232"/>
      <c r="E23" s="237">
        <f>E1G2G!V46</f>
        <v>0</v>
      </c>
      <c r="F23" s="238">
        <f>E23*'Dados auxiliares'!$H$57</f>
        <v>0</v>
      </c>
      <c r="G23" s="590"/>
      <c r="H23" s="294" t="e">
        <f t="shared" si="0"/>
        <v>#DIV/0!</v>
      </c>
      <c r="I23" s="294" t="e">
        <f t="shared" si="1"/>
        <v>#DIV/0!</v>
      </c>
    </row>
    <row r="24" spans="1:9" x14ac:dyDescent="0.25">
      <c r="A24" s="230"/>
      <c r="B24" s="273" t="s">
        <v>553</v>
      </c>
      <c r="C24" s="273" t="s">
        <v>409</v>
      </c>
      <c r="D24" s="232"/>
      <c r="E24" s="237">
        <f>E1G2G!V47</f>
        <v>0</v>
      </c>
      <c r="F24" s="238">
        <f>E24*'Dados auxiliares'!$H$58</f>
        <v>0</v>
      </c>
      <c r="G24" s="590"/>
      <c r="H24" s="294" t="e">
        <f t="shared" si="0"/>
        <v>#DIV/0!</v>
      </c>
      <c r="I24" s="294" t="e">
        <f t="shared" si="1"/>
        <v>#DIV/0!</v>
      </c>
    </row>
    <row r="25" spans="1:9" x14ac:dyDescent="0.25">
      <c r="A25" s="230"/>
      <c r="B25" s="273" t="s">
        <v>559</v>
      </c>
      <c r="C25" s="273" t="s">
        <v>410</v>
      </c>
      <c r="D25" s="232"/>
      <c r="E25" s="237">
        <f>E1G2G!V48</f>
        <v>0</v>
      </c>
      <c r="F25" s="238">
        <f>E25*'Dados auxiliares'!$H$59</f>
        <v>0</v>
      </c>
      <c r="G25" s="590"/>
      <c r="H25" s="294" t="e">
        <f t="shared" si="0"/>
        <v>#DIV/0!</v>
      </c>
      <c r="I25" s="294" t="e">
        <f t="shared" si="1"/>
        <v>#DIV/0!</v>
      </c>
    </row>
    <row r="26" spans="1:9" x14ac:dyDescent="0.25">
      <c r="A26" s="230"/>
      <c r="B26" s="273" t="s">
        <v>554</v>
      </c>
      <c r="C26" s="273" t="s">
        <v>409</v>
      </c>
      <c r="D26" s="232"/>
      <c r="E26" s="237">
        <f>E1G2G!V49</f>
        <v>0</v>
      </c>
      <c r="F26" s="238">
        <f>E26*'Dados auxiliares'!$H$60</f>
        <v>0</v>
      </c>
      <c r="G26" s="590"/>
      <c r="H26" s="294" t="e">
        <f t="shared" si="0"/>
        <v>#DIV/0!</v>
      </c>
      <c r="I26" s="294" t="e">
        <f t="shared" si="1"/>
        <v>#DIV/0!</v>
      </c>
    </row>
    <row r="27" spans="1:9" x14ac:dyDescent="0.25">
      <c r="A27" s="230"/>
      <c r="B27" s="273" t="s">
        <v>555</v>
      </c>
      <c r="C27" s="273" t="s">
        <v>409</v>
      </c>
      <c r="D27" s="232"/>
      <c r="E27" s="237">
        <f>E1G2G!V50</f>
        <v>0</v>
      </c>
      <c r="F27" s="238">
        <f>E27*'Dados auxiliares'!$H$61</f>
        <v>0</v>
      </c>
      <c r="G27" s="590"/>
      <c r="H27" s="294" t="e">
        <f t="shared" si="0"/>
        <v>#DIV/0!</v>
      </c>
      <c r="I27" s="294" t="e">
        <f t="shared" si="1"/>
        <v>#DIV/0!</v>
      </c>
    </row>
    <row r="28" spans="1:9" x14ac:dyDescent="0.25">
      <c r="A28" s="230"/>
      <c r="B28" s="273" t="s">
        <v>399</v>
      </c>
      <c r="C28" s="273" t="s">
        <v>409</v>
      </c>
      <c r="D28" s="232"/>
      <c r="E28" s="237">
        <f>E1G2G!V51</f>
        <v>0</v>
      </c>
      <c r="F28" s="238">
        <f>E28*'Dados auxiliares'!$H$62</f>
        <v>0</v>
      </c>
      <c r="G28" s="590"/>
      <c r="H28" s="294" t="e">
        <f t="shared" si="0"/>
        <v>#DIV/0!</v>
      </c>
      <c r="I28" s="294" t="e">
        <f t="shared" si="1"/>
        <v>#DIV/0!</v>
      </c>
    </row>
    <row r="29" spans="1:9" x14ac:dyDescent="0.25">
      <c r="A29" s="230"/>
      <c r="B29" s="273" t="s">
        <v>556</v>
      </c>
      <c r="C29" s="273" t="s">
        <v>409</v>
      </c>
      <c r="D29" s="232"/>
      <c r="E29" s="237">
        <f>E1G2G!V52</f>
        <v>0</v>
      </c>
      <c r="F29" s="238">
        <f>E29*'Dados auxiliares'!$H$63</f>
        <v>0</v>
      </c>
      <c r="G29" s="590"/>
      <c r="H29" s="294" t="e">
        <f t="shared" si="0"/>
        <v>#DIV/0!</v>
      </c>
      <c r="I29" s="294" t="e">
        <f t="shared" si="1"/>
        <v>#DIV/0!</v>
      </c>
    </row>
    <row r="30" spans="1:9" x14ac:dyDescent="0.25">
      <c r="A30" s="230"/>
      <c r="B30" s="273" t="s">
        <v>557</v>
      </c>
      <c r="C30" s="273" t="s">
        <v>409</v>
      </c>
      <c r="D30" s="232"/>
      <c r="E30" s="237">
        <f>E1G2G!V53</f>
        <v>0</v>
      </c>
      <c r="F30" s="238">
        <f>E30*'Dados auxiliares'!$H$64</f>
        <v>0</v>
      </c>
      <c r="G30" s="590"/>
      <c r="H30" s="294" t="e">
        <f t="shared" si="0"/>
        <v>#DIV/0!</v>
      </c>
      <c r="I30" s="294" t="e">
        <f t="shared" si="1"/>
        <v>#DIV/0!</v>
      </c>
    </row>
    <row r="31" spans="1:9" x14ac:dyDescent="0.25">
      <c r="A31" s="230"/>
      <c r="B31" s="273" t="s">
        <v>560</v>
      </c>
      <c r="C31" s="273" t="s">
        <v>410</v>
      </c>
      <c r="D31" s="241"/>
      <c r="E31" s="237">
        <f>E1G2G!V54</f>
        <v>0</v>
      </c>
      <c r="F31" s="242">
        <f>E31*'Dados auxiliares'!$H$66</f>
        <v>0</v>
      </c>
      <c r="G31" s="591"/>
      <c r="H31" s="294" t="e">
        <f t="shared" si="0"/>
        <v>#DIV/0!</v>
      </c>
      <c r="I31" s="294" t="e">
        <f t="shared" si="1"/>
        <v>#DIV/0!</v>
      </c>
    </row>
    <row r="32" spans="1:9" x14ac:dyDescent="0.25">
      <c r="A32" s="230"/>
      <c r="B32" s="273" t="s">
        <v>561</v>
      </c>
      <c r="C32" s="273" t="s">
        <v>410</v>
      </c>
      <c r="D32" s="241"/>
      <c r="E32" s="237">
        <f>E1G2G!V55</f>
        <v>0</v>
      </c>
      <c r="F32" s="242">
        <f>E32*'Dados auxiliares'!$H$67</f>
        <v>0</v>
      </c>
      <c r="G32" s="591"/>
      <c r="H32" s="294" t="e">
        <f t="shared" si="0"/>
        <v>#DIV/0!</v>
      </c>
      <c r="I32" s="294" t="e">
        <f t="shared" si="1"/>
        <v>#DIV/0!</v>
      </c>
    </row>
    <row r="33" spans="1:9" x14ac:dyDescent="0.25">
      <c r="A33" s="230"/>
      <c r="B33" s="273" t="s">
        <v>562</v>
      </c>
      <c r="C33" s="273" t="s">
        <v>411</v>
      </c>
      <c r="D33" s="232"/>
      <c r="E33" s="237">
        <f>E1G2G!V56</f>
        <v>0</v>
      </c>
      <c r="F33" s="238">
        <f>E33*'Dados auxiliares'!H$68</f>
        <v>0</v>
      </c>
      <c r="G33" s="590"/>
      <c r="H33" s="294" t="e">
        <f t="shared" si="0"/>
        <v>#DIV/0!</v>
      </c>
      <c r="I33" s="294" t="e">
        <f t="shared" si="1"/>
        <v>#DIV/0!</v>
      </c>
    </row>
    <row r="34" spans="1:9" x14ac:dyDescent="0.25">
      <c r="A34" s="230"/>
      <c r="B34" s="273" t="s">
        <v>256</v>
      </c>
      <c r="C34" s="273" t="s">
        <v>409</v>
      </c>
      <c r="D34" s="232"/>
      <c r="E34" s="237">
        <f>E1G2G!V57</f>
        <v>0</v>
      </c>
      <c r="F34" s="238">
        <f>E34*'Dados auxiliares'!H$69</f>
        <v>0</v>
      </c>
      <c r="G34" s="590"/>
      <c r="H34" s="294" t="e">
        <f t="shared" si="0"/>
        <v>#DIV/0!</v>
      </c>
      <c r="I34" s="294" t="e">
        <f t="shared" si="1"/>
        <v>#DIV/0!</v>
      </c>
    </row>
    <row r="35" spans="1:9" x14ac:dyDescent="0.25">
      <c r="A35" s="230"/>
      <c r="B35" s="273" t="s">
        <v>404</v>
      </c>
      <c r="C35" s="273" t="s">
        <v>410</v>
      </c>
      <c r="D35" s="241"/>
      <c r="E35" s="237">
        <f>E1G2G!V58</f>
        <v>0</v>
      </c>
      <c r="F35" s="238">
        <f>E35*'Dados auxiliares'!H$70</f>
        <v>0</v>
      </c>
      <c r="G35" s="590"/>
      <c r="H35" s="294" t="e">
        <f t="shared" si="0"/>
        <v>#DIV/0!</v>
      </c>
      <c r="I35" s="294" t="e">
        <f t="shared" si="1"/>
        <v>#DIV/0!</v>
      </c>
    </row>
    <row r="36" spans="1:9" x14ac:dyDescent="0.25">
      <c r="A36" s="230"/>
      <c r="B36" s="273" t="s">
        <v>405</v>
      </c>
      <c r="C36" s="273" t="s">
        <v>411</v>
      </c>
      <c r="D36" s="232"/>
      <c r="E36" s="237">
        <f>E1G2G!V59</f>
        <v>0</v>
      </c>
      <c r="F36" s="238">
        <f>E36*'Dados auxiliares'!H$71</f>
        <v>0</v>
      </c>
      <c r="G36" s="590"/>
      <c r="H36" s="294" t="e">
        <f t="shared" si="0"/>
        <v>#DIV/0!</v>
      </c>
      <c r="I36" s="294" t="e">
        <f t="shared" si="1"/>
        <v>#DIV/0!</v>
      </c>
    </row>
    <row r="37" spans="1:9" x14ac:dyDescent="0.25">
      <c r="A37" s="230"/>
      <c r="B37" s="273" t="s">
        <v>345</v>
      </c>
      <c r="C37" s="273" t="s">
        <v>412</v>
      </c>
      <c r="D37" s="232"/>
      <c r="E37" s="237">
        <f>E1G2G!V62</f>
        <v>0</v>
      </c>
      <c r="F37" s="243">
        <v>0</v>
      </c>
      <c r="G37" s="592"/>
      <c r="H37" s="294" t="e">
        <f t="shared" si="0"/>
        <v>#DIV/0!</v>
      </c>
      <c r="I37" s="294" t="e">
        <f t="shared" si="1"/>
        <v>#DIV/0!</v>
      </c>
    </row>
    <row r="38" spans="1:9" x14ac:dyDescent="0.25">
      <c r="B38" s="273" t="s">
        <v>407</v>
      </c>
      <c r="C38" s="273" t="s">
        <v>1</v>
      </c>
      <c r="D38" s="232"/>
      <c r="E38" s="237">
        <f>E1G2G!V63</f>
        <v>0</v>
      </c>
      <c r="F38" s="243">
        <v>0</v>
      </c>
      <c r="G38" s="592"/>
      <c r="H38" s="294" t="e">
        <f t="shared" si="0"/>
        <v>#DIV/0!</v>
      </c>
      <c r="I38" s="294" t="e">
        <f t="shared" si="1"/>
        <v>#DIV/0!</v>
      </c>
    </row>
    <row r="39" spans="1:9" x14ac:dyDescent="0.25">
      <c r="B39" s="273" t="s">
        <v>408</v>
      </c>
      <c r="C39" s="273" t="s">
        <v>1</v>
      </c>
      <c r="D39" s="232"/>
      <c r="E39" s="237">
        <f>E1G2G!V64</f>
        <v>0</v>
      </c>
      <c r="F39" s="243">
        <v>0</v>
      </c>
      <c r="G39" s="592"/>
      <c r="H39" s="294" t="e">
        <f t="shared" si="0"/>
        <v>#DIV/0!</v>
      </c>
      <c r="I39" s="294" t="e">
        <f t="shared" si="1"/>
        <v>#DIV/0!</v>
      </c>
    </row>
    <row r="40" spans="1:9" x14ac:dyDescent="0.25">
      <c r="B40" s="273" t="s">
        <v>406</v>
      </c>
      <c r="C40" s="273" t="s">
        <v>1</v>
      </c>
      <c r="D40" s="232"/>
      <c r="E40" s="237">
        <f>E1G2G!V65+E1G2G!V66</f>
        <v>0</v>
      </c>
      <c r="F40" s="243">
        <v>0</v>
      </c>
      <c r="G40" s="592"/>
      <c r="H40" s="294" t="e">
        <f t="shared" si="0"/>
        <v>#DIV/0!</v>
      </c>
      <c r="I40" s="294" t="e">
        <f t="shared" si="1"/>
        <v>#DIV/0!</v>
      </c>
    </row>
    <row r="41" spans="1:9" x14ac:dyDescent="0.25">
      <c r="B41" s="284" t="s">
        <v>340</v>
      </c>
      <c r="C41" s="285"/>
      <c r="D41" s="285"/>
      <c r="E41" s="288"/>
      <c r="F41" s="289"/>
      <c r="G41" s="593"/>
      <c r="H41" s="289"/>
      <c r="I41" s="289"/>
    </row>
    <row r="42" spans="1:9" s="71" customFormat="1" x14ac:dyDescent="0.25">
      <c r="B42" s="273" t="s">
        <v>242</v>
      </c>
      <c r="C42" s="273" t="s">
        <v>1</v>
      </c>
      <c r="D42" s="246">
        <f>SUM(D43:D56)</f>
        <v>1.0831569385065971</v>
      </c>
      <c r="E42" s="246" t="e">
        <f>SUM(E43:E56)</f>
        <v>#DIV/0!</v>
      </c>
      <c r="F42" s="247" t="e">
        <f>SUM(F43:F56)</f>
        <v>#DIV/0!</v>
      </c>
      <c r="G42" s="594"/>
      <c r="H42" s="549" t="e">
        <f t="shared" ref="H42:H56" si="2">(F42/$E$91)*$F$91</f>
        <v>#DIV/0!</v>
      </c>
      <c r="I42" s="549" t="e">
        <f t="shared" ref="I42:I56" si="3">(F42/$E$92)*$F$92</f>
        <v>#DIV/0!</v>
      </c>
    </row>
    <row r="43" spans="1:9" ht="15" customHeight="1" outlineLevel="1" x14ac:dyDescent="0.25">
      <c r="B43" s="273" t="s">
        <v>130</v>
      </c>
      <c r="C43" s="273" t="s">
        <v>1</v>
      </c>
      <c r="D43" s="245">
        <v>0.17411826749021314</v>
      </c>
      <c r="E43" s="237" t="e">
        <f>D43*$E$15</f>
        <v>#DIV/0!</v>
      </c>
      <c r="F43" s="294" t="e">
        <f>E43*'Dados auxiliares'!$H$72</f>
        <v>#DIV/0!</v>
      </c>
      <c r="G43" s="595"/>
      <c r="H43" s="294" t="e">
        <f t="shared" si="2"/>
        <v>#DIV/0!</v>
      </c>
      <c r="I43" s="294" t="e">
        <f t="shared" si="3"/>
        <v>#DIV/0!</v>
      </c>
    </row>
    <row r="44" spans="1:9" ht="15" customHeight="1" outlineLevel="1" x14ac:dyDescent="0.25">
      <c r="B44" s="273" t="s">
        <v>131</v>
      </c>
      <c r="C44" s="273" t="s">
        <v>1</v>
      </c>
      <c r="D44" s="245">
        <v>0.51076802087864281</v>
      </c>
      <c r="E44" s="237" t="e">
        <f t="shared" ref="E44:E54" si="4">D44*$E$15</f>
        <v>#DIV/0!</v>
      </c>
      <c r="F44" s="294" t="e">
        <f>E44*'Dados auxiliares'!$H$74</f>
        <v>#DIV/0!</v>
      </c>
      <c r="G44" s="595"/>
      <c r="H44" s="294" t="e">
        <f t="shared" si="2"/>
        <v>#DIV/0!</v>
      </c>
      <c r="I44" s="294" t="e">
        <f t="shared" si="3"/>
        <v>#DIV/0!</v>
      </c>
    </row>
    <row r="45" spans="1:9" outlineLevel="1" x14ac:dyDescent="0.25">
      <c r="B45" s="273" t="s">
        <v>18</v>
      </c>
      <c r="C45" s="273" t="s">
        <v>1</v>
      </c>
      <c r="D45" s="245">
        <v>7.3793224880382789E-3</v>
      </c>
      <c r="E45" s="237" t="e">
        <f>D45*$E$15</f>
        <v>#DIV/0!</v>
      </c>
      <c r="F45" s="294" t="e">
        <f>E45*'Dados auxiliares'!$H$74</f>
        <v>#DIV/0!</v>
      </c>
      <c r="G45" s="595"/>
      <c r="H45" s="294" t="e">
        <f t="shared" si="2"/>
        <v>#DIV/0!</v>
      </c>
      <c r="I45" s="294" t="e">
        <f t="shared" si="3"/>
        <v>#DIV/0!</v>
      </c>
    </row>
    <row r="46" spans="1:9" ht="15" customHeight="1" outlineLevel="1" x14ac:dyDescent="0.25">
      <c r="B46" s="273" t="s">
        <v>132</v>
      </c>
      <c r="C46" s="273" t="s">
        <v>1</v>
      </c>
      <c r="D46" s="245">
        <v>0.17491467014644049</v>
      </c>
      <c r="E46" s="237" t="e">
        <f t="shared" si="4"/>
        <v>#DIV/0!</v>
      </c>
      <c r="F46" s="294" t="e">
        <f>E46*'Dados auxiliares'!$H$74</f>
        <v>#DIV/0!</v>
      </c>
      <c r="G46" s="595"/>
      <c r="H46" s="294" t="e">
        <f t="shared" si="2"/>
        <v>#DIV/0!</v>
      </c>
      <c r="I46" s="294" t="e">
        <f t="shared" si="3"/>
        <v>#DIV/0!</v>
      </c>
    </row>
    <row r="47" spans="1:9" ht="15" customHeight="1" outlineLevel="1" x14ac:dyDescent="0.25">
      <c r="B47" s="273" t="s">
        <v>9</v>
      </c>
      <c r="C47" s="273" t="s">
        <v>1</v>
      </c>
      <c r="D47" s="245">
        <v>4.4723166594171377E-3</v>
      </c>
      <c r="E47" s="237" t="e">
        <f t="shared" si="4"/>
        <v>#DIV/0!</v>
      </c>
      <c r="F47" s="294" t="e">
        <f>E47*'Dados auxiliares'!$H$74</f>
        <v>#DIV/0!</v>
      </c>
      <c r="G47" s="595"/>
      <c r="H47" s="294" t="e">
        <f t="shared" si="2"/>
        <v>#DIV/0!</v>
      </c>
      <c r="I47" s="294" t="e">
        <f t="shared" si="3"/>
        <v>#DIV/0!</v>
      </c>
    </row>
    <row r="48" spans="1:9" ht="15" customHeight="1" outlineLevel="1" x14ac:dyDescent="0.25">
      <c r="B48" s="273" t="s">
        <v>10</v>
      </c>
      <c r="C48" s="273" t="s">
        <v>1</v>
      </c>
      <c r="D48" s="245">
        <v>9.3173263737857046E-3</v>
      </c>
      <c r="E48" s="237" t="e">
        <f t="shared" si="4"/>
        <v>#DIV/0!</v>
      </c>
      <c r="F48" s="294" t="e">
        <f>E48*'Dados auxiliares'!$H$74</f>
        <v>#DIV/0!</v>
      </c>
      <c r="G48" s="595"/>
      <c r="H48" s="294" t="e">
        <f t="shared" si="2"/>
        <v>#DIV/0!</v>
      </c>
      <c r="I48" s="294" t="e">
        <f t="shared" si="3"/>
        <v>#DIV/0!</v>
      </c>
    </row>
    <row r="49" spans="1:9" ht="15" customHeight="1" outlineLevel="1" x14ac:dyDescent="0.25">
      <c r="B49" s="273" t="s">
        <v>12</v>
      </c>
      <c r="C49" s="273" t="s">
        <v>1</v>
      </c>
      <c r="D49" s="245">
        <v>4.6586631868928516E-2</v>
      </c>
      <c r="E49" s="237" t="e">
        <f>D49*$E$15</f>
        <v>#DIV/0!</v>
      </c>
      <c r="F49" s="294" t="e">
        <f>E49*'Dados auxiliares'!$H$74</f>
        <v>#DIV/0!</v>
      </c>
      <c r="G49" s="595"/>
      <c r="H49" s="294" t="e">
        <f t="shared" si="2"/>
        <v>#DIV/0!</v>
      </c>
      <c r="I49" s="294" t="e">
        <f t="shared" si="3"/>
        <v>#DIV/0!</v>
      </c>
    </row>
    <row r="50" spans="1:9" ht="15" customHeight="1" outlineLevel="1" x14ac:dyDescent="0.25">
      <c r="B50" s="273" t="s">
        <v>17</v>
      </c>
      <c r="C50" s="273" t="s">
        <v>1</v>
      </c>
      <c r="D50" s="245">
        <v>2.616305245759026E-2</v>
      </c>
      <c r="E50" s="237" t="e">
        <f>D50*$E$15</f>
        <v>#DIV/0!</v>
      </c>
      <c r="F50" s="294" t="e">
        <f>E50*'Dados auxiliares'!$H$74</f>
        <v>#DIV/0!</v>
      </c>
      <c r="G50" s="595"/>
      <c r="H50" s="294" t="e">
        <f t="shared" si="2"/>
        <v>#DIV/0!</v>
      </c>
      <c r="I50" s="294" t="e">
        <f t="shared" si="3"/>
        <v>#DIV/0!</v>
      </c>
    </row>
    <row r="51" spans="1:9" ht="15" customHeight="1" outlineLevel="1" x14ac:dyDescent="0.25">
      <c r="B51" s="273" t="s">
        <v>11</v>
      </c>
      <c r="C51" s="273" t="s">
        <v>1</v>
      </c>
      <c r="D51" s="245">
        <v>4.6586631868928516E-2</v>
      </c>
      <c r="E51" s="237" t="e">
        <f t="shared" si="4"/>
        <v>#DIV/0!</v>
      </c>
      <c r="F51" s="294" t="e">
        <f>E51*'Dados auxiliares'!$H$74</f>
        <v>#DIV/0!</v>
      </c>
      <c r="G51" s="595"/>
      <c r="H51" s="294" t="e">
        <f t="shared" si="2"/>
        <v>#DIV/0!</v>
      </c>
      <c r="I51" s="294" t="e">
        <f t="shared" si="3"/>
        <v>#DIV/0!</v>
      </c>
    </row>
    <row r="52" spans="1:9" ht="15" customHeight="1" outlineLevel="1" x14ac:dyDescent="0.25">
      <c r="B52" s="273" t="s">
        <v>13</v>
      </c>
      <c r="C52" s="273" t="s">
        <v>1</v>
      </c>
      <c r="D52" s="245">
        <v>3.7548825286356391E-2</v>
      </c>
      <c r="E52" s="237" t="e">
        <f t="shared" si="4"/>
        <v>#DIV/0!</v>
      </c>
      <c r="F52" s="294" t="e">
        <f>E52*'Dados auxiliares'!$H$73</f>
        <v>#DIV/0!</v>
      </c>
      <c r="G52" s="595"/>
      <c r="H52" s="294" t="e">
        <f t="shared" si="2"/>
        <v>#DIV/0!</v>
      </c>
      <c r="I52" s="294" t="e">
        <f t="shared" si="3"/>
        <v>#DIV/0!</v>
      </c>
    </row>
    <row r="53" spans="1:9" ht="15" customHeight="1" outlineLevel="1" x14ac:dyDescent="0.25">
      <c r="B53" s="273" t="s">
        <v>14</v>
      </c>
      <c r="C53" s="273" t="s">
        <v>1</v>
      </c>
      <c r="D53" s="245">
        <v>9.3173263737857046E-3</v>
      </c>
      <c r="E53" s="237" t="e">
        <f t="shared" si="4"/>
        <v>#DIV/0!</v>
      </c>
      <c r="F53" s="294" t="e">
        <f>E53*'Dados auxiliares'!$H$74</f>
        <v>#DIV/0!</v>
      </c>
      <c r="G53" s="595"/>
      <c r="H53" s="294" t="e">
        <f t="shared" si="2"/>
        <v>#DIV/0!</v>
      </c>
      <c r="I53" s="294" t="e">
        <f t="shared" si="3"/>
        <v>#DIV/0!</v>
      </c>
    </row>
    <row r="54" spans="1:9" ht="15" customHeight="1" outlineLevel="1" x14ac:dyDescent="0.25">
      <c r="B54" s="273" t="s">
        <v>15</v>
      </c>
      <c r="C54" s="273" t="s">
        <v>1</v>
      </c>
      <c r="D54" s="245">
        <v>6.987994780339279E-5</v>
      </c>
      <c r="E54" s="237" t="e">
        <f t="shared" si="4"/>
        <v>#DIV/0!</v>
      </c>
      <c r="F54" s="294" t="e">
        <f>E54*'Dados auxiliares'!$H$74</f>
        <v>#DIV/0!</v>
      </c>
      <c r="G54" s="595"/>
      <c r="H54" s="294" t="e">
        <f t="shared" si="2"/>
        <v>#DIV/0!</v>
      </c>
      <c r="I54" s="294" t="e">
        <f t="shared" si="3"/>
        <v>#DIV/0!</v>
      </c>
    </row>
    <row r="55" spans="1:9" ht="15" customHeight="1" outlineLevel="1" x14ac:dyDescent="0.25">
      <c r="B55" s="273" t="s">
        <v>16</v>
      </c>
      <c r="C55" s="273" t="s">
        <v>1</v>
      </c>
      <c r="D55" s="245">
        <v>3.4051201391909529E-2</v>
      </c>
      <c r="E55" s="237" t="e">
        <f>D55*$E$15</f>
        <v>#DIV/0!</v>
      </c>
      <c r="F55" s="294" t="e">
        <f>E55*'Dados auxiliares'!$H$74</f>
        <v>#DIV/0!</v>
      </c>
      <c r="G55" s="595"/>
      <c r="H55" s="294" t="e">
        <f t="shared" si="2"/>
        <v>#DIV/0!</v>
      </c>
      <c r="I55" s="294" t="e">
        <f t="shared" si="3"/>
        <v>#DIV/0!</v>
      </c>
    </row>
    <row r="56" spans="1:9" ht="15" customHeight="1" outlineLevel="1" x14ac:dyDescent="0.25">
      <c r="B56" s="273" t="s">
        <v>16</v>
      </c>
      <c r="C56" s="273" t="s">
        <v>1</v>
      </c>
      <c r="D56" s="245">
        <v>1.8634652747571412E-3</v>
      </c>
      <c r="E56" s="237" t="e">
        <f>D56*$E$15</f>
        <v>#DIV/0!</v>
      </c>
      <c r="F56" s="294" t="e">
        <f>E56*'Dados auxiliares'!$H$74</f>
        <v>#DIV/0!</v>
      </c>
      <c r="G56" s="595"/>
      <c r="H56" s="294" t="e">
        <f t="shared" si="2"/>
        <v>#DIV/0!</v>
      </c>
      <c r="I56" s="294" t="e">
        <f t="shared" si="3"/>
        <v>#DIV/0!</v>
      </c>
    </row>
    <row r="57" spans="1:9" ht="15" customHeight="1" x14ac:dyDescent="0.25">
      <c r="A57" s="230"/>
      <c r="B57" s="284" t="s">
        <v>243</v>
      </c>
      <c r="C57" s="285"/>
      <c r="D57" s="285"/>
      <c r="E57" s="288"/>
      <c r="F57" s="289"/>
      <c r="G57" s="593"/>
      <c r="H57" s="289"/>
      <c r="I57" s="289"/>
    </row>
    <row r="58" spans="1:9" x14ac:dyDescent="0.25">
      <c r="A58" s="230"/>
      <c r="B58" s="273" t="s">
        <v>309</v>
      </c>
      <c r="C58" s="273" t="s">
        <v>1</v>
      </c>
      <c r="D58" s="248"/>
      <c r="E58" s="237">
        <f>(E1G2G!$V$69*(1-0.08)+E1G2G!$V$70*(1-0.1)+E1G2G!$V$71*(1-E1G2G!$Y$71)+E1G2G!V72*(1-0.2)+E1G2G!$V$73*(1-0.3)+E1G2G!$V$74*(1-1))*('Dados auxiliares'!$D$26)</f>
        <v>0</v>
      </c>
      <c r="F58" s="238">
        <f>E58*'Dados auxiliares'!$H$116</f>
        <v>0</v>
      </c>
      <c r="G58" s="590"/>
      <c r="H58" s="294" t="e">
        <f t="shared" ref="H58:H68" si="5">(F58/$E$91)*$F$91</f>
        <v>#DIV/0!</v>
      </c>
      <c r="I58" s="294" t="e">
        <f t="shared" ref="I58:I68" si="6">(F58/$E$92)*$F$92</f>
        <v>#DIV/0!</v>
      </c>
    </row>
    <row r="59" spans="1:9" x14ac:dyDescent="0.25">
      <c r="A59" s="230"/>
      <c r="B59" s="273" t="s">
        <v>187</v>
      </c>
      <c r="C59" s="273" t="s">
        <v>1</v>
      </c>
      <c r="D59" s="248"/>
      <c r="E59" s="237">
        <f>(E1G2G!$V$69*(0.08)+E1G2G!$V$70*(0.1)+E1G2G!$V$71*(E1G2G!$Y$71)+E1G2G!V73*(0.2)+E1G2G!$V$73*(0.3)+E1G2G!$V$74*(1))*('Dados auxiliares'!$D$17)</f>
        <v>0</v>
      </c>
      <c r="F59" s="238">
        <f>E59*'Dados auxiliares'!$H$117</f>
        <v>0</v>
      </c>
      <c r="G59" s="590"/>
      <c r="H59" s="294" t="e">
        <f t="shared" si="5"/>
        <v>#DIV/0!</v>
      </c>
      <c r="I59" s="294" t="e">
        <f t="shared" si="6"/>
        <v>#DIV/0!</v>
      </c>
    </row>
    <row r="60" spans="1:9" x14ac:dyDescent="0.25">
      <c r="A60" s="230"/>
      <c r="B60" s="273" t="s">
        <v>188</v>
      </c>
      <c r="C60" s="273" t="s">
        <v>1</v>
      </c>
      <c r="D60" s="248"/>
      <c r="E60" s="237">
        <f>E1G2G!V75*(1-'FE''s queima combustíveis'!$D$19)*'Dados auxiliares'!$D$24</f>
        <v>0</v>
      </c>
      <c r="F60" s="238">
        <f>E60*'Dados auxiliares'!$H$120</f>
        <v>0</v>
      </c>
      <c r="G60" s="590"/>
      <c r="H60" s="294" t="e">
        <f t="shared" si="5"/>
        <v>#DIV/0!</v>
      </c>
      <c r="I60" s="294" t="e">
        <f t="shared" si="6"/>
        <v>#DIV/0!</v>
      </c>
    </row>
    <row r="61" spans="1:9" x14ac:dyDescent="0.25">
      <c r="A61" s="230"/>
      <c r="B61" s="273" t="s">
        <v>45</v>
      </c>
      <c r="C61" s="273" t="s">
        <v>1</v>
      </c>
      <c r="D61" s="248"/>
      <c r="E61" s="237">
        <f>E1G2G!V75*('FE''s queima combustíveis'!$D$19)*'Dados auxiliares'!$D$15</f>
        <v>0</v>
      </c>
      <c r="F61" s="238">
        <f>E61*'Dados auxiliares'!$H$121</f>
        <v>0</v>
      </c>
      <c r="G61" s="590"/>
      <c r="H61" s="294" t="e">
        <f t="shared" si="5"/>
        <v>#DIV/0!</v>
      </c>
      <c r="I61" s="294" t="e">
        <f t="shared" si="6"/>
        <v>#DIV/0!</v>
      </c>
    </row>
    <row r="62" spans="1:9" x14ac:dyDescent="0.25">
      <c r="A62" s="230"/>
      <c r="B62" s="273" t="s">
        <v>46</v>
      </c>
      <c r="C62" s="273" t="s">
        <v>1</v>
      </c>
      <c r="D62" s="248"/>
      <c r="E62" s="237">
        <f>E1G2G!V76*'Dados auxiliares'!$D$16</f>
        <v>0</v>
      </c>
      <c r="F62" s="238">
        <f>E62*'Dados auxiliares'!$H$122</f>
        <v>0</v>
      </c>
      <c r="G62" s="590"/>
      <c r="H62" s="294" t="e">
        <f t="shared" si="5"/>
        <v>#DIV/0!</v>
      </c>
      <c r="I62" s="294" t="e">
        <f t="shared" si="6"/>
        <v>#DIV/0!</v>
      </c>
    </row>
    <row r="63" spans="1:9" x14ac:dyDescent="0.25">
      <c r="A63" s="230"/>
      <c r="B63" s="273" t="s">
        <v>468</v>
      </c>
      <c r="C63" s="273" t="s">
        <v>169</v>
      </c>
      <c r="D63" s="248"/>
      <c r="E63" s="237">
        <f>E1G2G!V77</f>
        <v>0</v>
      </c>
      <c r="F63" s="238">
        <f>E63*('Dados auxiliares'!$D$18*1000)*'Dados auxiliares'!$F$18*'Dados auxiliares'!$H$125</f>
        <v>0</v>
      </c>
      <c r="G63" s="590"/>
      <c r="H63" s="294" t="e">
        <f t="shared" si="5"/>
        <v>#DIV/0!</v>
      </c>
      <c r="I63" s="294" t="e">
        <f t="shared" si="6"/>
        <v>#DIV/0!</v>
      </c>
    </row>
    <row r="64" spans="1:9" x14ac:dyDescent="0.25">
      <c r="A64" s="230"/>
      <c r="B64" s="273" t="s">
        <v>376</v>
      </c>
      <c r="C64" s="273" t="s">
        <v>57</v>
      </c>
      <c r="D64" s="248"/>
      <c r="E64" s="237">
        <f>E1G2G!V79</f>
        <v>0</v>
      </c>
      <c r="F64" s="238">
        <f>E64*'Dados auxiliares'!$H$107</f>
        <v>0</v>
      </c>
      <c r="G64" s="590"/>
      <c r="H64" s="294" t="e">
        <f t="shared" si="5"/>
        <v>#DIV/0!</v>
      </c>
      <c r="I64" s="294" t="e">
        <f t="shared" si="6"/>
        <v>#DIV/0!</v>
      </c>
    </row>
    <row r="65" spans="1:9" x14ac:dyDescent="0.25">
      <c r="A65" s="230"/>
      <c r="B65" s="273" t="s">
        <v>375</v>
      </c>
      <c r="C65" s="273" t="s">
        <v>57</v>
      </c>
      <c r="D65" s="248"/>
      <c r="E65" s="237">
        <f>E1G2G!V80</f>
        <v>0</v>
      </c>
      <c r="F65" s="238">
        <f>E65*'Dados auxiliares'!$H$108</f>
        <v>0</v>
      </c>
      <c r="G65" s="590"/>
      <c r="H65" s="294" t="e">
        <f t="shared" si="5"/>
        <v>#DIV/0!</v>
      </c>
      <c r="I65" s="294" t="e">
        <f t="shared" si="6"/>
        <v>#DIV/0!</v>
      </c>
    </row>
    <row r="66" spans="1:9" x14ac:dyDescent="0.25">
      <c r="A66" s="230"/>
      <c r="B66" s="273" t="s">
        <v>372</v>
      </c>
      <c r="C66" s="273" t="s">
        <v>57</v>
      </c>
      <c r="D66" s="248"/>
      <c r="E66" s="237">
        <f>E1G2G!V81</f>
        <v>0</v>
      </c>
      <c r="F66" s="238">
        <f>E66*'Dados auxiliares'!$H$109</f>
        <v>0</v>
      </c>
      <c r="G66" s="590"/>
      <c r="H66" s="294" t="e">
        <f t="shared" si="5"/>
        <v>#DIV/0!</v>
      </c>
      <c r="I66" s="294" t="e">
        <f t="shared" si="6"/>
        <v>#DIV/0!</v>
      </c>
    </row>
    <row r="67" spans="1:9" x14ac:dyDescent="0.25">
      <c r="A67" s="230"/>
      <c r="B67" s="273" t="s">
        <v>373</v>
      </c>
      <c r="C67" s="273" t="s">
        <v>57</v>
      </c>
      <c r="D67" s="248"/>
      <c r="E67" s="237">
        <f>E1G2G!V82</f>
        <v>0</v>
      </c>
      <c r="F67" s="238">
        <f>E67*'Dados auxiliares'!$H$110</f>
        <v>0</v>
      </c>
      <c r="G67" s="590"/>
      <c r="H67" s="294" t="e">
        <f t="shared" si="5"/>
        <v>#DIV/0!</v>
      </c>
      <c r="I67" s="294" t="e">
        <f t="shared" si="6"/>
        <v>#DIV/0!</v>
      </c>
    </row>
    <row r="68" spans="1:9" x14ac:dyDescent="0.25">
      <c r="A68" s="230"/>
      <c r="B68" s="273" t="s">
        <v>374</v>
      </c>
      <c r="C68" s="273" t="s">
        <v>57</v>
      </c>
      <c r="D68" s="248"/>
      <c r="E68" s="237">
        <f>E1G2G!V83</f>
        <v>0</v>
      </c>
      <c r="F68" s="238">
        <f>E68*'Dados auxiliares'!$H$111</f>
        <v>0</v>
      </c>
      <c r="G68" s="590"/>
      <c r="H68" s="294" t="e">
        <f t="shared" si="5"/>
        <v>#DIV/0!</v>
      </c>
      <c r="I68" s="294" t="e">
        <f t="shared" si="6"/>
        <v>#DIV/0!</v>
      </c>
    </row>
    <row r="69" spans="1:9" ht="18" x14ac:dyDescent="0.25">
      <c r="A69" s="230"/>
      <c r="B69" s="281" t="s">
        <v>52</v>
      </c>
      <c r="C69" s="306"/>
      <c r="D69" s="306" t="s">
        <v>51</v>
      </c>
      <c r="E69" s="306" t="s">
        <v>507</v>
      </c>
      <c r="F69" s="283" t="s">
        <v>508</v>
      </c>
      <c r="G69" s="272"/>
      <c r="H69" s="283" t="s">
        <v>535</v>
      </c>
      <c r="I69" s="283" t="s">
        <v>535</v>
      </c>
    </row>
    <row r="70" spans="1:9" ht="18" x14ac:dyDescent="0.25">
      <c r="A70" s="70"/>
      <c r="B70" s="273" t="s">
        <v>567</v>
      </c>
      <c r="C70" s="273" t="s">
        <v>1</v>
      </c>
      <c r="D70" s="237" t="e">
        <f>'_Emissões Agrícolas'!$D$54</f>
        <v>#DIV/0!</v>
      </c>
      <c r="E70" s="237" t="e">
        <f>D70*$E$15</f>
        <v>#DIV/0!</v>
      </c>
      <c r="F70" s="238" t="e">
        <f>E70*1000*'Dados auxiliares'!$D$9</f>
        <v>#DIV/0!</v>
      </c>
      <c r="G70" s="590"/>
      <c r="H70" s="294" t="e">
        <f t="shared" ref="H70:H82" si="7">(F70/$E$91)*$F$91</f>
        <v>#DIV/0!</v>
      </c>
      <c r="I70" s="294" t="e">
        <f t="shared" ref="I70:I82" si="8">(F70/$E$92)*$F$92</f>
        <v>#DIV/0!</v>
      </c>
    </row>
    <row r="71" spans="1:9" ht="18" x14ac:dyDescent="0.25">
      <c r="A71" s="70"/>
      <c r="B71" s="273" t="s">
        <v>568</v>
      </c>
      <c r="C71" s="273" t="s">
        <v>1</v>
      </c>
      <c r="D71" s="237" t="e">
        <f>'_Emissões Agrícolas'!$D$58</f>
        <v>#DIV/0!</v>
      </c>
      <c r="E71" s="237" t="e">
        <f>D71*$E$15</f>
        <v>#DIV/0!</v>
      </c>
      <c r="F71" s="238" t="e">
        <f>E71*1000*'Dados auxiliares'!$D$9</f>
        <v>#DIV/0!</v>
      </c>
      <c r="G71" s="590"/>
      <c r="H71" s="294" t="e">
        <f t="shared" si="7"/>
        <v>#DIV/0!</v>
      </c>
      <c r="I71" s="294" t="e">
        <f t="shared" si="8"/>
        <v>#DIV/0!</v>
      </c>
    </row>
    <row r="72" spans="1:9" ht="18" x14ac:dyDescent="0.25">
      <c r="A72" s="70"/>
      <c r="B72" s="273" t="s">
        <v>569</v>
      </c>
      <c r="C72" s="273" t="s">
        <v>1</v>
      </c>
      <c r="D72" s="237" t="e">
        <f>'_Emissões Agrícolas'!$D$62</f>
        <v>#DIV/0!</v>
      </c>
      <c r="E72" s="237" t="e">
        <f>D72*$E$15</f>
        <v>#DIV/0!</v>
      </c>
      <c r="F72" s="238" t="e">
        <f>E72*1000*'Dados auxiliares'!$D$9</f>
        <v>#DIV/0!</v>
      </c>
      <c r="G72" s="590"/>
      <c r="H72" s="294" t="e">
        <f t="shared" si="7"/>
        <v>#DIV/0!</v>
      </c>
      <c r="I72" s="294" t="e">
        <f t="shared" si="8"/>
        <v>#DIV/0!</v>
      </c>
    </row>
    <row r="73" spans="1:9" ht="18" x14ac:dyDescent="0.25">
      <c r="A73" s="230"/>
      <c r="B73" s="273" t="s">
        <v>438</v>
      </c>
      <c r="C73" s="273" t="s">
        <v>1</v>
      </c>
      <c r="D73" s="248"/>
      <c r="E73" s="237">
        <f>$E$18*'_Emissões Agrícolas'!$E$79+$E$19*'_Emissões Agrícolas'!$E$80</f>
        <v>0</v>
      </c>
      <c r="F73" s="238">
        <f>E73*1000</f>
        <v>0</v>
      </c>
      <c r="G73" s="590"/>
      <c r="H73" s="294" t="e">
        <f t="shared" si="7"/>
        <v>#DIV/0!</v>
      </c>
      <c r="I73" s="294" t="e">
        <f t="shared" si="8"/>
        <v>#DIV/0!</v>
      </c>
    </row>
    <row r="74" spans="1:9" ht="18" x14ac:dyDescent="0.25">
      <c r="A74" s="230"/>
      <c r="B74" s="273" t="s">
        <v>439</v>
      </c>
      <c r="C74" s="273" t="s">
        <v>1</v>
      </c>
      <c r="D74" s="248"/>
      <c r="E74" s="237">
        <f>$E$21*'_Emissões Agrícolas'!$E$81</f>
        <v>0</v>
      </c>
      <c r="F74" s="238">
        <f>E74*1000</f>
        <v>0</v>
      </c>
      <c r="G74" s="590"/>
      <c r="H74" s="294" t="e">
        <f t="shared" si="7"/>
        <v>#DIV/0!</v>
      </c>
      <c r="I74" s="294" t="e">
        <f t="shared" si="8"/>
        <v>#DIV/0!</v>
      </c>
    </row>
    <row r="75" spans="1:9" ht="18" x14ac:dyDescent="0.25">
      <c r="A75" s="230"/>
      <c r="B75" s="273" t="s">
        <v>441</v>
      </c>
      <c r="C75" s="273" t="s">
        <v>1</v>
      </c>
      <c r="D75" s="237" t="e">
        <f>'_Emissões Agrícolas'!D73</f>
        <v>#DIV/0!</v>
      </c>
      <c r="E75" s="237" t="e">
        <f>D75*$E$15</f>
        <v>#DIV/0!</v>
      </c>
      <c r="F75" s="238" t="e">
        <f>E75*1000*'Dados auxiliares'!$D$9</f>
        <v>#DIV/0!</v>
      </c>
      <c r="G75" s="590"/>
      <c r="H75" s="294" t="e">
        <f t="shared" si="7"/>
        <v>#DIV/0!</v>
      </c>
      <c r="I75" s="294" t="e">
        <f t="shared" si="8"/>
        <v>#DIV/0!</v>
      </c>
    </row>
    <row r="76" spans="1:9" ht="18" x14ac:dyDescent="0.25">
      <c r="A76" s="267"/>
      <c r="B76" s="273" t="s">
        <v>440</v>
      </c>
      <c r="C76" s="273" t="s">
        <v>1</v>
      </c>
      <c r="D76" s="237" t="e">
        <f>'_Emissões Agrícolas'!D74</f>
        <v>#DIV/0!</v>
      </c>
      <c r="E76" s="237" t="e">
        <f>D76*$E$15</f>
        <v>#DIV/0!</v>
      </c>
      <c r="F76" s="238" t="e">
        <f>E76*1000*'Dados auxiliares'!$D$8</f>
        <v>#DIV/0!</v>
      </c>
      <c r="G76" s="590"/>
      <c r="H76" s="294" t="e">
        <f t="shared" si="7"/>
        <v>#DIV/0!</v>
      </c>
      <c r="I76" s="294" t="e">
        <f t="shared" si="8"/>
        <v>#DIV/0!</v>
      </c>
    </row>
    <row r="77" spans="1:9" x14ac:dyDescent="0.25">
      <c r="A77" s="230"/>
      <c r="B77" s="273" t="s">
        <v>437</v>
      </c>
      <c r="C77" s="273" t="s">
        <v>1</v>
      </c>
      <c r="D77" s="237"/>
      <c r="E77" s="237">
        <f>$E$58*'FE''s queima combustíveis'!$I$64/1000</f>
        <v>0</v>
      </c>
      <c r="F77" s="238">
        <f>E77*1000</f>
        <v>0</v>
      </c>
      <c r="G77" s="590"/>
      <c r="H77" s="294" t="e">
        <f t="shared" si="7"/>
        <v>#DIV/0!</v>
      </c>
      <c r="I77" s="294" t="e">
        <f t="shared" si="8"/>
        <v>#DIV/0!</v>
      </c>
    </row>
    <row r="78" spans="1:9" x14ac:dyDescent="0.25">
      <c r="A78" s="230"/>
      <c r="B78" s="273" t="s">
        <v>443</v>
      </c>
      <c r="C78" s="273" t="s">
        <v>1</v>
      </c>
      <c r="D78" s="237"/>
      <c r="E78" s="237">
        <f>$E$59*'FE''s queima combustíveis'!$I$65/1000</f>
        <v>0</v>
      </c>
      <c r="F78" s="238">
        <f t="shared" ref="F78:F82" si="9">E78*1000</f>
        <v>0</v>
      </c>
      <c r="G78" s="590"/>
      <c r="H78" s="294" t="e">
        <f t="shared" si="7"/>
        <v>#DIV/0!</v>
      </c>
      <c r="I78" s="294" t="e">
        <f t="shared" si="8"/>
        <v>#DIV/0!</v>
      </c>
    </row>
    <row r="79" spans="1:9" x14ac:dyDescent="0.25">
      <c r="A79" s="230"/>
      <c r="B79" s="273" t="s">
        <v>492</v>
      </c>
      <c r="C79" s="273" t="s">
        <v>1</v>
      </c>
      <c r="D79" s="237"/>
      <c r="E79" s="237">
        <f>$E$60*'FE''s queima combustíveis'!$I$9/1000</f>
        <v>0</v>
      </c>
      <c r="F79" s="238">
        <f t="shared" si="9"/>
        <v>0</v>
      </c>
      <c r="G79" s="590"/>
      <c r="H79" s="294" t="e">
        <f t="shared" si="7"/>
        <v>#DIV/0!</v>
      </c>
      <c r="I79" s="294" t="e">
        <f t="shared" si="8"/>
        <v>#DIV/0!</v>
      </c>
    </row>
    <row r="80" spans="1:9" x14ac:dyDescent="0.25">
      <c r="A80" s="230"/>
      <c r="B80" s="273" t="s">
        <v>493</v>
      </c>
      <c r="C80" s="273" t="s">
        <v>1</v>
      </c>
      <c r="D80" s="237"/>
      <c r="E80" s="237">
        <f>$E$61*'FE''s queima combustíveis'!$I$7/1000</f>
        <v>0</v>
      </c>
      <c r="F80" s="238">
        <f t="shared" si="9"/>
        <v>0</v>
      </c>
      <c r="G80" s="590"/>
      <c r="H80" s="294" t="e">
        <f t="shared" si="7"/>
        <v>#DIV/0!</v>
      </c>
      <c r="I80" s="294" t="e">
        <f t="shared" si="8"/>
        <v>#DIV/0!</v>
      </c>
    </row>
    <row r="81" spans="1:9" x14ac:dyDescent="0.25">
      <c r="A81" s="230"/>
      <c r="B81" s="273" t="s">
        <v>494</v>
      </c>
      <c r="C81" s="273" t="s">
        <v>1</v>
      </c>
      <c r="D81" s="237"/>
      <c r="E81" s="237">
        <f>$E$62*'FE''s queima combustíveis'!$I$8/1000</f>
        <v>0</v>
      </c>
      <c r="F81" s="238">
        <f t="shared" si="9"/>
        <v>0</v>
      </c>
      <c r="G81" s="590"/>
      <c r="H81" s="294" t="e">
        <f t="shared" si="7"/>
        <v>#DIV/0!</v>
      </c>
      <c r="I81" s="294" t="e">
        <f t="shared" si="8"/>
        <v>#DIV/0!</v>
      </c>
    </row>
    <row r="82" spans="1:9" x14ac:dyDescent="0.25">
      <c r="A82" s="230"/>
      <c r="B82" s="273" t="s">
        <v>444</v>
      </c>
      <c r="C82" s="273" t="s">
        <v>1</v>
      </c>
      <c r="D82" s="237"/>
      <c r="E82" s="237">
        <f>($E$63+E1G2G!V78)*'FE''s queima combustíveis'!$I$66/1000</f>
        <v>0</v>
      </c>
      <c r="F82" s="238">
        <f t="shared" si="9"/>
        <v>0</v>
      </c>
      <c r="G82" s="590"/>
      <c r="H82" s="294" t="e">
        <f t="shared" si="7"/>
        <v>#DIV/0!</v>
      </c>
      <c r="I82" s="294" t="e">
        <f t="shared" si="8"/>
        <v>#DIV/0!</v>
      </c>
    </row>
    <row r="83" spans="1:9" ht="6" customHeight="1" x14ac:dyDescent="0.25">
      <c r="A83" s="268"/>
      <c r="B83" s="163"/>
      <c r="C83" s="251"/>
      <c r="D83" s="252"/>
      <c r="E83" s="252"/>
      <c r="F83" s="253"/>
      <c r="G83" s="596"/>
      <c r="H83" s="239"/>
      <c r="I83" s="244"/>
    </row>
    <row r="84" spans="1:9" ht="18" x14ac:dyDescent="0.25">
      <c r="B84" s="276" t="s">
        <v>54</v>
      </c>
      <c r="C84" s="274" t="s">
        <v>509</v>
      </c>
      <c r="D84" s="241"/>
      <c r="E84" s="275"/>
      <c r="F84" s="290" t="e">
        <f>SUM(F70:F82)</f>
        <v>#DIV/0!</v>
      </c>
      <c r="G84" s="597"/>
      <c r="H84" s="290" t="e">
        <f>(F84/$E$91)*$F$91</f>
        <v>#DIV/0!</v>
      </c>
      <c r="I84" s="290" t="e">
        <f t="shared" ref="I84:I86" si="10">(F84/$E$92)*$F$92</f>
        <v>#DIV/0!</v>
      </c>
    </row>
    <row r="85" spans="1:9" ht="18" x14ac:dyDescent="0.25">
      <c r="B85" s="276" t="s">
        <v>61</v>
      </c>
      <c r="C85" s="274" t="s">
        <v>509</v>
      </c>
      <c r="D85" s="241"/>
      <c r="E85" s="275"/>
      <c r="F85" s="290" t="e">
        <f>SUM(F18:F42,F57:F68)</f>
        <v>#DIV/0!</v>
      </c>
      <c r="G85" s="597"/>
      <c r="H85" s="290" t="e">
        <f>(F85/$E$91)*$F$91</f>
        <v>#DIV/0!</v>
      </c>
      <c r="I85" s="290" t="e">
        <f t="shared" si="10"/>
        <v>#DIV/0!</v>
      </c>
    </row>
    <row r="86" spans="1:9" ht="18" x14ac:dyDescent="0.25">
      <c r="B86" s="276" t="s">
        <v>55</v>
      </c>
      <c r="C86" s="274" t="s">
        <v>509</v>
      </c>
      <c r="D86" s="241"/>
      <c r="E86" s="275"/>
      <c r="F86" s="290" t="e">
        <f>F84+F85</f>
        <v>#DIV/0!</v>
      </c>
      <c r="G86" s="597"/>
      <c r="H86" s="290" t="e">
        <f>(F86/$E$91)*$F$91</f>
        <v>#DIV/0!</v>
      </c>
      <c r="I86" s="290" t="e">
        <f t="shared" si="10"/>
        <v>#DIV/0!</v>
      </c>
    </row>
    <row r="87" spans="1:9" x14ac:dyDescent="0.25">
      <c r="B87" s="230"/>
      <c r="C87" s="255"/>
      <c r="D87" s="255"/>
      <c r="E87" s="255"/>
      <c r="F87" s="255"/>
      <c r="G87" s="255"/>
      <c r="H87" s="256"/>
      <c r="I87" s="257"/>
    </row>
    <row r="88" spans="1:9" x14ac:dyDescent="0.25">
      <c r="B88" s="230"/>
      <c r="C88" s="255"/>
      <c r="D88" s="255"/>
      <c r="E88" s="255"/>
      <c r="F88" s="255"/>
      <c r="G88" s="255"/>
      <c r="H88" s="256"/>
      <c r="I88" s="257"/>
    </row>
    <row r="89" spans="1:9" ht="18.75" x14ac:dyDescent="0.25">
      <c r="B89" s="737" t="s">
        <v>502</v>
      </c>
      <c r="C89" s="737"/>
      <c r="D89" s="737"/>
      <c r="E89" s="737"/>
      <c r="F89" s="737"/>
      <c r="G89" s="453"/>
      <c r="H89" s="740" t="s">
        <v>936</v>
      </c>
      <c r="I89" s="740" t="s">
        <v>937</v>
      </c>
    </row>
    <row r="90" spans="1:9" x14ac:dyDescent="0.25">
      <c r="B90" s="279" t="s">
        <v>495</v>
      </c>
      <c r="C90" s="306" t="s">
        <v>0</v>
      </c>
      <c r="D90" s="306" t="s">
        <v>56</v>
      </c>
      <c r="E90" s="306" t="s">
        <v>29</v>
      </c>
      <c r="F90" s="306" t="s">
        <v>330</v>
      </c>
      <c r="G90" s="583"/>
      <c r="H90" s="740"/>
      <c r="I90" s="740"/>
    </row>
    <row r="91" spans="1:9" s="71" customFormat="1" x14ac:dyDescent="0.25">
      <c r="B91" s="273" t="s">
        <v>45</v>
      </c>
      <c r="C91" s="273" t="s">
        <v>1</v>
      </c>
      <c r="D91" s="237">
        <f>E1G2G!D95*'Dados auxiliares'!$D$15</f>
        <v>0</v>
      </c>
      <c r="E91" s="237">
        <f>D91*'Dados auxiliares'!$F$15</f>
        <v>0</v>
      </c>
      <c r="F91" s="258" t="e">
        <f>E91/SUM($E$91:$E$95)</f>
        <v>#DIV/0!</v>
      </c>
      <c r="G91" s="585"/>
      <c r="H91" s="740"/>
      <c r="I91" s="740"/>
    </row>
    <row r="92" spans="1:9" x14ac:dyDescent="0.25">
      <c r="B92" s="273" t="s">
        <v>46</v>
      </c>
      <c r="C92" s="273" t="s">
        <v>1</v>
      </c>
      <c r="D92" s="237">
        <f>E1G2G!D96*'Dados auxiliares'!$D$16</f>
        <v>0</v>
      </c>
      <c r="E92" s="237">
        <f>D92*'Dados auxiliares'!$F$16</f>
        <v>0</v>
      </c>
      <c r="F92" s="258" t="e">
        <f>E92/SUM($E$91:$E$95)</f>
        <v>#DIV/0!</v>
      </c>
      <c r="G92" s="585"/>
      <c r="H92" s="740"/>
      <c r="I92" s="740"/>
    </row>
    <row r="93" spans="1:9" x14ac:dyDescent="0.25">
      <c r="B93" s="273" t="s">
        <v>136</v>
      </c>
      <c r="C93" s="273" t="s">
        <v>1</v>
      </c>
      <c r="D93" s="237">
        <f>E1G2G!D97</f>
        <v>0</v>
      </c>
      <c r="E93" s="237">
        <f>D93*'Dados auxiliares'!D36</f>
        <v>0</v>
      </c>
      <c r="F93" s="258" t="e">
        <f>E93/SUM($E$91:$E$95)</f>
        <v>#DIV/0!</v>
      </c>
      <c r="G93" s="585"/>
      <c r="H93" s="740"/>
      <c r="I93" s="740"/>
    </row>
    <row r="94" spans="1:9" x14ac:dyDescent="0.25">
      <c r="B94" s="273" t="s">
        <v>496</v>
      </c>
      <c r="C94" s="273" t="s">
        <v>57</v>
      </c>
      <c r="D94" s="237">
        <f>E1G2G!D98</f>
        <v>0</v>
      </c>
      <c r="E94" s="237">
        <f>CONVERT(D94,"kWh","MJ")</f>
        <v>0</v>
      </c>
      <c r="F94" s="258" t="e">
        <f>E94/SUM($E$91:$E$95)</f>
        <v>#DIV/0!</v>
      </c>
      <c r="G94" s="585"/>
      <c r="H94" s="740"/>
      <c r="I94" s="740"/>
    </row>
    <row r="95" spans="1:9" ht="18" x14ac:dyDescent="0.25">
      <c r="B95" s="273" t="s">
        <v>250</v>
      </c>
      <c r="C95" s="273" t="s">
        <v>505</v>
      </c>
      <c r="D95" s="237">
        <f>E1G2G!D99</f>
        <v>0</v>
      </c>
      <c r="E95" s="259" t="s">
        <v>5</v>
      </c>
      <c r="F95" s="259" t="s">
        <v>5</v>
      </c>
      <c r="G95" s="478" t="s">
        <v>497</v>
      </c>
      <c r="H95" s="740"/>
      <c r="I95" s="740"/>
    </row>
    <row r="96" spans="1:9" ht="18" x14ac:dyDescent="0.25">
      <c r="B96" s="281" t="s">
        <v>58</v>
      </c>
      <c r="C96" s="306" t="s">
        <v>0</v>
      </c>
      <c r="D96" s="306" t="s">
        <v>56</v>
      </c>
      <c r="E96" s="282"/>
      <c r="F96" s="283" t="s">
        <v>508</v>
      </c>
      <c r="G96" s="272"/>
      <c r="H96" s="283" t="s">
        <v>535</v>
      </c>
      <c r="I96" s="283" t="s">
        <v>535</v>
      </c>
    </row>
    <row r="97" spans="1:9" x14ac:dyDescent="0.25">
      <c r="B97" s="273" t="s">
        <v>19</v>
      </c>
      <c r="C97" s="273" t="s">
        <v>138</v>
      </c>
      <c r="D97" s="308">
        <v>1</v>
      </c>
      <c r="E97" s="259"/>
      <c r="F97" s="294" t="e">
        <f>D97*F86</f>
        <v>#DIV/0!</v>
      </c>
      <c r="G97" s="595"/>
      <c r="H97" s="294" t="e">
        <f t="shared" ref="H97:H152" si="11">(F97/$E$91)*$F$91</f>
        <v>#DIV/0!</v>
      </c>
      <c r="I97" s="294" t="e">
        <f t="shared" ref="I97:I115" si="12">(F97/$E$92)*$F$92</f>
        <v>#DIV/0!</v>
      </c>
    </row>
    <row r="98" spans="1:9" ht="18" x14ac:dyDescent="0.25">
      <c r="B98" s="273" t="s">
        <v>391</v>
      </c>
      <c r="C98" s="273" t="s">
        <v>506</v>
      </c>
      <c r="D98" s="278" t="e">
        <f>(E1G2G!$D$90*1-E1G2G!$G$90)*1000/E1G2G!$D$88</f>
        <v>#DIV/0!</v>
      </c>
      <c r="E98" s="259"/>
      <c r="F98" s="277">
        <v>0</v>
      </c>
      <c r="G98" s="544"/>
      <c r="H98" s="294" t="e">
        <f t="shared" ref="H98" si="13">(F98/$E$91)*$F$91</f>
        <v>#DIV/0!</v>
      </c>
      <c r="I98" s="294" t="e">
        <f t="shared" si="12"/>
        <v>#DIV/0!</v>
      </c>
    </row>
    <row r="99" spans="1:9" ht="18" x14ac:dyDescent="0.25">
      <c r="B99" s="273" t="s">
        <v>389</v>
      </c>
      <c r="C99" s="273" t="s">
        <v>506</v>
      </c>
      <c r="D99" s="278" t="e">
        <f>(E1G2G!$D$91*1-E1G2G!$G$91)*1000/E1G2G!$D$88</f>
        <v>#DIV/0!</v>
      </c>
      <c r="E99" s="259"/>
      <c r="F99" s="277">
        <v>0</v>
      </c>
      <c r="G99" s="544"/>
      <c r="H99" s="294" t="e">
        <f t="shared" si="11"/>
        <v>#DIV/0!</v>
      </c>
      <c r="I99" s="294" t="e">
        <f t="shared" si="12"/>
        <v>#DIV/0!</v>
      </c>
    </row>
    <row r="100" spans="1:9" x14ac:dyDescent="0.25">
      <c r="B100" s="273" t="s">
        <v>498</v>
      </c>
      <c r="C100" s="273" t="s">
        <v>47</v>
      </c>
      <c r="D100" s="278" t="e">
        <f>D99/1000*E1G2G!$D$92</f>
        <v>#DIV/0!</v>
      </c>
      <c r="E100" s="259"/>
      <c r="F100" s="278" t="e">
        <f>D100*'Dados auxiliares'!$H$131</f>
        <v>#DIV/0!</v>
      </c>
      <c r="G100" s="598"/>
      <c r="H100" s="294" t="e">
        <f t="shared" si="11"/>
        <v>#DIV/0!</v>
      </c>
      <c r="I100" s="294" t="e">
        <f t="shared" si="12"/>
        <v>#DIV/0!</v>
      </c>
    </row>
    <row r="101" spans="1:9" ht="18" x14ac:dyDescent="0.25">
      <c r="B101" s="273" t="s">
        <v>934</v>
      </c>
      <c r="C101" s="273" t="s">
        <v>506</v>
      </c>
      <c r="D101" s="278" t="e">
        <f>E1G2G!D89*1000/E1G2G!$D$88</f>
        <v>#DIV/0!</v>
      </c>
      <c r="E101" s="259"/>
      <c r="F101" s="278" t="e">
        <f>D101*0</f>
        <v>#DIV/0!</v>
      </c>
      <c r="G101" s="544"/>
      <c r="H101" s="294" t="e">
        <f t="shared" si="11"/>
        <v>#DIV/0!</v>
      </c>
      <c r="I101" s="294" t="e">
        <f t="shared" si="12"/>
        <v>#DIV/0!</v>
      </c>
    </row>
    <row r="102" spans="1:9" ht="18" x14ac:dyDescent="0.25">
      <c r="B102" s="273" t="s">
        <v>184</v>
      </c>
      <c r="C102" s="273" t="s">
        <v>506</v>
      </c>
      <c r="D102" s="278" t="e">
        <f>E1G2G!$D$93*1000/E1G2G!$D$88</f>
        <v>#DIV/0!</v>
      </c>
      <c r="E102" s="259"/>
      <c r="F102" s="278" t="e">
        <f>D102*'Dados auxiliares'!$H$78</f>
        <v>#DIV/0!</v>
      </c>
      <c r="G102" s="598"/>
      <c r="H102" s="294" t="e">
        <f t="shared" si="11"/>
        <v>#DIV/0!</v>
      </c>
      <c r="I102" s="294" t="e">
        <f t="shared" si="12"/>
        <v>#DIV/0!</v>
      </c>
    </row>
    <row r="103" spans="1:9" x14ac:dyDescent="0.25">
      <c r="B103" s="273" t="s">
        <v>499</v>
      </c>
      <c r="C103" s="273" t="s">
        <v>47</v>
      </c>
      <c r="D103" s="278" t="e">
        <f>D102/1000*E1G2G!$D$94</f>
        <v>#DIV/0!</v>
      </c>
      <c r="E103" s="259"/>
      <c r="F103" s="278" t="e">
        <f>D103*'Dados auxiliares'!$H$131</f>
        <v>#DIV/0!</v>
      </c>
      <c r="G103" s="598"/>
      <c r="H103" s="294" t="e">
        <f t="shared" si="11"/>
        <v>#DIV/0!</v>
      </c>
      <c r="I103" s="294" t="e">
        <f t="shared" si="12"/>
        <v>#DIV/0!</v>
      </c>
    </row>
    <row r="104" spans="1:9" x14ac:dyDescent="0.25">
      <c r="A104" s="263"/>
      <c r="B104" s="273" t="s">
        <v>20</v>
      </c>
      <c r="C104" s="273" t="s">
        <v>1</v>
      </c>
      <c r="D104" s="277">
        <v>2008.2</v>
      </c>
      <c r="E104" s="259"/>
      <c r="F104" s="278">
        <f>D104*'Dados auxiliares'!$H$83</f>
        <v>17.675317696958029</v>
      </c>
      <c r="G104" s="598"/>
      <c r="H104" s="294" t="e">
        <f t="shared" si="11"/>
        <v>#DIV/0!</v>
      </c>
      <c r="I104" s="294" t="e">
        <f t="shared" si="12"/>
        <v>#DIV/0!</v>
      </c>
    </row>
    <row r="105" spans="1:9" x14ac:dyDescent="0.25">
      <c r="A105" s="263"/>
      <c r="B105" s="273" t="s">
        <v>21</v>
      </c>
      <c r="C105" s="273" t="s">
        <v>1</v>
      </c>
      <c r="D105" s="277">
        <v>0.62</v>
      </c>
      <c r="E105" s="259"/>
      <c r="F105" s="278">
        <f>D105*'Dados auxiliares'!$H$84</f>
        <v>596.27703828179551</v>
      </c>
      <c r="G105" s="598"/>
      <c r="H105" s="294" t="e">
        <f t="shared" si="11"/>
        <v>#DIV/0!</v>
      </c>
      <c r="I105" s="294" t="e">
        <f t="shared" si="12"/>
        <v>#DIV/0!</v>
      </c>
    </row>
    <row r="106" spans="1:9" x14ac:dyDescent="0.25">
      <c r="A106" s="263"/>
      <c r="B106" s="273" t="s">
        <v>22</v>
      </c>
      <c r="C106" s="273" t="s">
        <v>1</v>
      </c>
      <c r="D106" s="277">
        <v>0.48</v>
      </c>
      <c r="E106" s="259"/>
      <c r="F106" s="278">
        <f>D106*'Dados auxiliares'!$H$88</f>
        <v>52.492732656084385</v>
      </c>
      <c r="G106" s="598"/>
      <c r="H106" s="294" t="e">
        <f t="shared" si="11"/>
        <v>#DIV/0!</v>
      </c>
      <c r="I106" s="294" t="e">
        <f t="shared" si="12"/>
        <v>#DIV/0!</v>
      </c>
    </row>
    <row r="107" spans="1:9" x14ac:dyDescent="0.25">
      <c r="A107" s="263"/>
      <c r="B107" s="273" t="s">
        <v>23</v>
      </c>
      <c r="C107" s="273" t="s">
        <v>1</v>
      </c>
      <c r="D107" s="277">
        <v>0.2</v>
      </c>
      <c r="E107" s="259"/>
      <c r="F107" s="278">
        <f>D107*'Dados auxiliares'!$H$89</f>
        <v>302.58539055259456</v>
      </c>
      <c r="G107" s="598"/>
      <c r="H107" s="294" t="e">
        <f t="shared" si="11"/>
        <v>#DIV/0!</v>
      </c>
      <c r="I107" s="294" t="e">
        <f t="shared" si="12"/>
        <v>#DIV/0!</v>
      </c>
    </row>
    <row r="108" spans="1:9" x14ac:dyDescent="0.25">
      <c r="A108" s="263"/>
      <c r="B108" s="273" t="s">
        <v>178</v>
      </c>
      <c r="C108" s="273" t="s">
        <v>1</v>
      </c>
      <c r="D108" s="292">
        <v>2.5699999999999998E-3</v>
      </c>
      <c r="E108" s="259"/>
      <c r="F108" s="278">
        <f>D108*'Dados auxiliares'!$H$91</f>
        <v>5.5278052807028546</v>
      </c>
      <c r="G108" s="598"/>
      <c r="H108" s="294" t="e">
        <f t="shared" si="11"/>
        <v>#DIV/0!</v>
      </c>
      <c r="I108" s="294" t="e">
        <f t="shared" si="12"/>
        <v>#DIV/0!</v>
      </c>
    </row>
    <row r="109" spans="1:9" x14ac:dyDescent="0.25">
      <c r="A109" s="263"/>
      <c r="B109" s="273" t="s">
        <v>25</v>
      </c>
      <c r="C109" s="273" t="s">
        <v>1</v>
      </c>
      <c r="D109" s="293">
        <v>1.41E-3</v>
      </c>
      <c r="E109" s="259"/>
      <c r="F109" s="278">
        <f>D109*'Dados auxiliares'!$H$92</f>
        <v>3.0327647648992317</v>
      </c>
      <c r="G109" s="598"/>
      <c r="H109" s="294" t="e">
        <f t="shared" si="11"/>
        <v>#DIV/0!</v>
      </c>
      <c r="I109" s="294" t="e">
        <f t="shared" si="12"/>
        <v>#DIV/0!</v>
      </c>
    </row>
    <row r="110" spans="1:9" x14ac:dyDescent="0.25">
      <c r="A110" s="263"/>
      <c r="B110" s="273" t="s">
        <v>26</v>
      </c>
      <c r="C110" s="273" t="s">
        <v>1</v>
      </c>
      <c r="D110" s="292">
        <f>13/1000</f>
        <v>1.2999999999999999E-2</v>
      </c>
      <c r="E110" s="259"/>
      <c r="F110" s="278">
        <f>D110*'Dados auxiliares'!$H$93</f>
        <v>14.708242207038198</v>
      </c>
      <c r="G110" s="598"/>
      <c r="H110" s="294" t="e">
        <f t="shared" si="11"/>
        <v>#DIV/0!</v>
      </c>
      <c r="I110" s="294" t="e">
        <f t="shared" si="12"/>
        <v>#DIV/0!</v>
      </c>
    </row>
    <row r="111" spans="1:9" x14ac:dyDescent="0.25">
      <c r="A111" s="263"/>
      <c r="B111" s="273" t="s">
        <v>27</v>
      </c>
      <c r="C111" s="273" t="s">
        <v>1</v>
      </c>
      <c r="D111" s="292">
        <f>(D91*0.03)/67.2</f>
        <v>0</v>
      </c>
      <c r="E111" s="259"/>
      <c r="F111" s="278">
        <f>D111*'Dados auxiliares'!$H$94</f>
        <v>0</v>
      </c>
      <c r="G111" s="598"/>
      <c r="H111" s="294" t="e">
        <f t="shared" si="11"/>
        <v>#DIV/0!</v>
      </c>
      <c r="I111" s="294" t="e">
        <f t="shared" si="12"/>
        <v>#DIV/0!</v>
      </c>
    </row>
    <row r="112" spans="1:9" x14ac:dyDescent="0.25">
      <c r="A112" s="263"/>
      <c r="B112" s="273" t="s">
        <v>162</v>
      </c>
      <c r="C112" s="273" t="s">
        <v>1</v>
      </c>
      <c r="D112" s="353">
        <f>E1G2G!D102</f>
        <v>0</v>
      </c>
      <c r="E112" s="259"/>
      <c r="F112" s="278">
        <f>D112*'Dados auxiliares'!$H$99</f>
        <v>0</v>
      </c>
      <c r="G112" s="598"/>
      <c r="H112" s="294" t="e">
        <f t="shared" si="11"/>
        <v>#DIV/0!</v>
      </c>
      <c r="I112" s="294" t="e">
        <f t="shared" si="12"/>
        <v>#DIV/0!</v>
      </c>
    </row>
    <row r="113" spans="1:9" x14ac:dyDescent="0.25">
      <c r="A113" s="263"/>
      <c r="B113" s="273" t="s">
        <v>22</v>
      </c>
      <c r="C113" s="273" t="s">
        <v>1</v>
      </c>
      <c r="D113" s="353">
        <f>E1G2G!D103</f>
        <v>0</v>
      </c>
      <c r="E113" s="259"/>
      <c r="F113" s="278">
        <f>D113*'Dados auxiliares'!$H$88</f>
        <v>0</v>
      </c>
      <c r="G113" s="598"/>
      <c r="H113" s="294" t="e">
        <f t="shared" si="11"/>
        <v>#DIV/0!</v>
      </c>
      <c r="I113" s="294" t="e">
        <f t="shared" si="12"/>
        <v>#DIV/0!</v>
      </c>
    </row>
    <row r="114" spans="1:9" x14ac:dyDescent="0.25">
      <c r="A114" s="263"/>
      <c r="B114" s="273" t="s">
        <v>176</v>
      </c>
      <c r="C114" s="273" t="s">
        <v>1</v>
      </c>
      <c r="D114" s="353">
        <f>E1G2G!D104</f>
        <v>0</v>
      </c>
      <c r="E114" s="259"/>
      <c r="F114" s="278">
        <f>D114*'Dados auxiliares'!$H$95</f>
        <v>0</v>
      </c>
      <c r="G114" s="598"/>
      <c r="H114" s="294" t="e">
        <f t="shared" si="11"/>
        <v>#DIV/0!</v>
      </c>
      <c r="I114" s="294" t="e">
        <f t="shared" si="12"/>
        <v>#DIV/0!</v>
      </c>
    </row>
    <row r="115" spans="1:9" x14ac:dyDescent="0.25">
      <c r="A115" s="263"/>
      <c r="B115" s="273" t="s">
        <v>85</v>
      </c>
      <c r="C115" s="273" t="s">
        <v>1</v>
      </c>
      <c r="D115" s="353">
        <f>E1G2G!D105</f>
        <v>0</v>
      </c>
      <c r="E115" s="259"/>
      <c r="F115" s="278">
        <f>D115*'Dados auxiliares'!$H$97</f>
        <v>0</v>
      </c>
      <c r="G115" s="598"/>
      <c r="H115" s="294" t="e">
        <f t="shared" si="11"/>
        <v>#DIV/0!</v>
      </c>
      <c r="I115" s="294" t="e">
        <f t="shared" si="12"/>
        <v>#DIV/0!</v>
      </c>
    </row>
    <row r="116" spans="1:9" x14ac:dyDescent="0.25">
      <c r="A116" s="263"/>
      <c r="B116" s="284" t="s">
        <v>243</v>
      </c>
      <c r="C116" s="285"/>
      <c r="D116" s="285"/>
      <c r="E116" s="288"/>
      <c r="F116" s="289"/>
      <c r="G116" s="593"/>
      <c r="H116" s="289"/>
      <c r="I116" s="289"/>
    </row>
    <row r="117" spans="1:9" ht="18" x14ac:dyDescent="0.25">
      <c r="B117" s="273" t="s">
        <v>391</v>
      </c>
      <c r="C117" s="273" t="s">
        <v>506</v>
      </c>
      <c r="D117" s="278">
        <f>E1G2G!$D$109*(1-E1G2G!$D$110)</f>
        <v>0</v>
      </c>
      <c r="E117" s="259"/>
      <c r="F117" s="277">
        <v>0</v>
      </c>
      <c r="G117" s="544"/>
      <c r="H117" s="294" t="e">
        <f t="shared" si="11"/>
        <v>#DIV/0!</v>
      </c>
      <c r="I117" s="294" t="e">
        <f t="shared" ref="I117:I135" si="14">(F117/$E$92)*$F$92</f>
        <v>#DIV/0!</v>
      </c>
    </row>
    <row r="118" spans="1:9" ht="18" x14ac:dyDescent="0.25">
      <c r="B118" s="273" t="s">
        <v>390</v>
      </c>
      <c r="C118" s="273" t="s">
        <v>506</v>
      </c>
      <c r="D118" s="278">
        <f>E1G2G!$D$113*(1-E1G2G!$D$114)</f>
        <v>0</v>
      </c>
      <c r="E118" s="259"/>
      <c r="F118" s="277">
        <v>0</v>
      </c>
      <c r="G118" s="544"/>
      <c r="H118" s="294" t="e">
        <f t="shared" si="11"/>
        <v>#DIV/0!</v>
      </c>
      <c r="I118" s="294" t="e">
        <f t="shared" si="14"/>
        <v>#DIV/0!</v>
      </c>
    </row>
    <row r="119" spans="1:9" ht="18" x14ac:dyDescent="0.25">
      <c r="B119" s="273" t="s">
        <v>389</v>
      </c>
      <c r="C119" s="273" t="s">
        <v>506</v>
      </c>
      <c r="D119" s="278">
        <f>E1G2G!$D$117*(1-E1G2G!$D$118)</f>
        <v>0</v>
      </c>
      <c r="E119" s="259"/>
      <c r="F119" s="277">
        <v>0</v>
      </c>
      <c r="G119" s="544"/>
      <c r="H119" s="294" t="e">
        <f t="shared" si="11"/>
        <v>#DIV/0!</v>
      </c>
      <c r="I119" s="294" t="e">
        <f t="shared" si="14"/>
        <v>#DIV/0!</v>
      </c>
    </row>
    <row r="120" spans="1:9" x14ac:dyDescent="0.25">
      <c r="B120" s="273" t="s">
        <v>498</v>
      </c>
      <c r="C120" s="273" t="s">
        <v>47</v>
      </c>
      <c r="D120" s="278">
        <f>((D119/1000)*E1G2G!$D$119)</f>
        <v>0</v>
      </c>
      <c r="E120" s="259"/>
      <c r="F120" s="278">
        <f>D120*'Dados auxiliares'!$H$131</f>
        <v>0</v>
      </c>
      <c r="G120" s="598"/>
      <c r="H120" s="294" t="e">
        <f t="shared" si="11"/>
        <v>#DIV/0!</v>
      </c>
      <c r="I120" s="294" t="e">
        <f t="shared" si="14"/>
        <v>#DIV/0!</v>
      </c>
    </row>
    <row r="121" spans="1:9" ht="18" x14ac:dyDescent="0.25">
      <c r="B121" s="273" t="s">
        <v>184</v>
      </c>
      <c r="C121" s="273" t="s">
        <v>506</v>
      </c>
      <c r="D121" s="278">
        <f>E1G2G!$D$122*(1-E1G2G!$D$123)</f>
        <v>0</v>
      </c>
      <c r="E121" s="259"/>
      <c r="F121" s="278">
        <f>D121*'Dados auxiliares'!$H$78</f>
        <v>0</v>
      </c>
      <c r="G121" s="598"/>
      <c r="H121" s="294" t="e">
        <f t="shared" si="11"/>
        <v>#DIV/0!</v>
      </c>
      <c r="I121" s="294" t="e">
        <f t="shared" si="14"/>
        <v>#DIV/0!</v>
      </c>
    </row>
    <row r="122" spans="1:9" x14ac:dyDescent="0.25">
      <c r="B122" s="273" t="s">
        <v>499</v>
      </c>
      <c r="C122" s="273" t="s">
        <v>47</v>
      </c>
      <c r="D122" s="278">
        <f>((D121/1000)*E1G2G!$D$124)</f>
        <v>0</v>
      </c>
      <c r="E122" s="259"/>
      <c r="F122" s="278">
        <f>D122*'Dados auxiliares'!$H$131</f>
        <v>0</v>
      </c>
      <c r="G122" s="598"/>
      <c r="H122" s="294" t="e">
        <f t="shared" si="11"/>
        <v>#DIV/0!</v>
      </c>
      <c r="I122" s="294" t="e">
        <f t="shared" si="14"/>
        <v>#DIV/0!</v>
      </c>
    </row>
    <row r="123" spans="1:9" ht="18" x14ac:dyDescent="0.25">
      <c r="B123" s="273" t="s">
        <v>106</v>
      </c>
      <c r="C123" s="273" t="s">
        <v>506</v>
      </c>
      <c r="D123" s="278">
        <f>E1G2G!$D$127*(1-E1G2G!$D$128)</f>
        <v>0</v>
      </c>
      <c r="E123" s="259"/>
      <c r="F123" s="278">
        <f>D123*'Dados auxiliares'!$H$123</f>
        <v>0</v>
      </c>
      <c r="G123" s="598"/>
      <c r="H123" s="294" t="e">
        <f t="shared" si="11"/>
        <v>#DIV/0!</v>
      </c>
      <c r="I123" s="294" t="e">
        <f t="shared" si="14"/>
        <v>#DIV/0!</v>
      </c>
    </row>
    <row r="124" spans="1:9" x14ac:dyDescent="0.25">
      <c r="B124" s="273" t="s">
        <v>500</v>
      </c>
      <c r="C124" s="273" t="s">
        <v>47</v>
      </c>
      <c r="D124" s="278">
        <f>((D123/1000)*E1G2G!$D$129)</f>
        <v>0</v>
      </c>
      <c r="E124" s="259"/>
      <c r="F124" s="278">
        <f>D124*'Dados auxiliares'!$H$131</f>
        <v>0</v>
      </c>
      <c r="G124" s="598"/>
      <c r="H124" s="294" t="e">
        <f t="shared" si="11"/>
        <v>#DIV/0!</v>
      </c>
      <c r="I124" s="294" t="e">
        <f t="shared" si="14"/>
        <v>#DIV/0!</v>
      </c>
    </row>
    <row r="125" spans="1:9" ht="18" x14ac:dyDescent="0.25">
      <c r="B125" s="273" t="s">
        <v>347</v>
      </c>
      <c r="C125" s="273" t="s">
        <v>506</v>
      </c>
      <c r="D125" s="278">
        <f>E1G2G!$D$132*(1-E1G2G!$D$133)</f>
        <v>0</v>
      </c>
      <c r="E125" s="259"/>
      <c r="F125" s="278">
        <f>D125*'Dados auxiliares'!$H$124</f>
        <v>0</v>
      </c>
      <c r="G125" s="598"/>
      <c r="H125" s="294" t="e">
        <f t="shared" si="11"/>
        <v>#DIV/0!</v>
      </c>
      <c r="I125" s="294" t="e">
        <f t="shared" si="14"/>
        <v>#DIV/0!</v>
      </c>
    </row>
    <row r="126" spans="1:9" x14ac:dyDescent="0.25">
      <c r="B126" s="273" t="s">
        <v>503</v>
      </c>
      <c r="C126" s="273" t="s">
        <v>47</v>
      </c>
      <c r="D126" s="278">
        <f>((D125/1000)*E1G2G!$D$134)</f>
        <v>0</v>
      </c>
      <c r="E126" s="259"/>
      <c r="F126" s="278">
        <f>D126*'Dados auxiliares'!$H$131</f>
        <v>0</v>
      </c>
      <c r="G126" s="598"/>
      <c r="H126" s="294" t="e">
        <f t="shared" si="11"/>
        <v>#DIV/0!</v>
      </c>
      <c r="I126" s="294" t="e">
        <f t="shared" si="14"/>
        <v>#DIV/0!</v>
      </c>
    </row>
    <row r="127" spans="1:9" ht="18" x14ac:dyDescent="0.25">
      <c r="B127" s="273" t="s">
        <v>466</v>
      </c>
      <c r="C127" s="273" t="s">
        <v>506</v>
      </c>
      <c r="D127" s="278">
        <f>E1G2G!$D$137*(1-E1G2G!$D$138)</f>
        <v>0</v>
      </c>
      <c r="E127" s="259"/>
      <c r="F127" s="277">
        <v>0</v>
      </c>
      <c r="G127" s="544"/>
      <c r="H127" s="294" t="e">
        <f t="shared" si="11"/>
        <v>#DIV/0!</v>
      </c>
      <c r="I127" s="294" t="e">
        <f t="shared" si="14"/>
        <v>#DIV/0!</v>
      </c>
    </row>
    <row r="128" spans="1:9" x14ac:dyDescent="0.25">
      <c r="B128" s="273" t="s">
        <v>504</v>
      </c>
      <c r="C128" s="273" t="s">
        <v>47</v>
      </c>
      <c r="D128" s="278">
        <f>((D127/1000)*E1G2G!$D$139)</f>
        <v>0</v>
      </c>
      <c r="E128" s="259"/>
      <c r="F128" s="278">
        <f>D128*'Dados auxiliares'!$H$131</f>
        <v>0</v>
      </c>
      <c r="G128" s="598"/>
      <c r="H128" s="294" t="e">
        <f t="shared" si="11"/>
        <v>#DIV/0!</v>
      </c>
      <c r="I128" s="294" t="e">
        <f t="shared" si="14"/>
        <v>#DIV/0!</v>
      </c>
    </row>
    <row r="129" spans="1:9" x14ac:dyDescent="0.25">
      <c r="B129" s="273" t="s">
        <v>851</v>
      </c>
      <c r="C129" s="273" t="s">
        <v>1</v>
      </c>
      <c r="D129" s="278">
        <f>E1G2G!D141*'Dados auxiliares'!$D$30</f>
        <v>0</v>
      </c>
      <c r="E129" s="259"/>
      <c r="F129" s="278">
        <f>D129*'Dados auxiliares'!$H$126</f>
        <v>0</v>
      </c>
      <c r="G129" s="598"/>
      <c r="H129" s="294" t="e">
        <f t="shared" si="11"/>
        <v>#DIV/0!</v>
      </c>
      <c r="I129" s="294" t="e">
        <f t="shared" si="14"/>
        <v>#DIV/0!</v>
      </c>
    </row>
    <row r="130" spans="1:9" x14ac:dyDescent="0.25">
      <c r="B130" s="273" t="s">
        <v>923</v>
      </c>
      <c r="C130" s="273" t="s">
        <v>169</v>
      </c>
      <c r="D130" s="278">
        <f>E1G2G!D145</f>
        <v>0</v>
      </c>
      <c r="E130" s="259"/>
      <c r="F130" s="278">
        <f>D130*E1G2G!G145*'Dados auxiliares'!$H$125</f>
        <v>0</v>
      </c>
      <c r="G130" s="598"/>
      <c r="H130" s="294" t="e">
        <f t="shared" si="11"/>
        <v>#DIV/0!</v>
      </c>
      <c r="I130" s="294" t="e">
        <f t="shared" si="14"/>
        <v>#DIV/0!</v>
      </c>
    </row>
    <row r="131" spans="1:9" x14ac:dyDescent="0.25">
      <c r="B131" s="273" t="s">
        <v>376</v>
      </c>
      <c r="C131" s="273" t="s">
        <v>57</v>
      </c>
      <c r="D131" s="278">
        <f>E1G2G!D146</f>
        <v>0</v>
      </c>
      <c r="E131" s="259"/>
      <c r="F131" s="278">
        <f>D131*'Dados auxiliares'!$H$107</f>
        <v>0</v>
      </c>
      <c r="G131" s="598"/>
      <c r="H131" s="294" t="e">
        <f t="shared" si="11"/>
        <v>#DIV/0!</v>
      </c>
      <c r="I131" s="294" t="e">
        <f t="shared" si="14"/>
        <v>#DIV/0!</v>
      </c>
    </row>
    <row r="132" spans="1:9" x14ac:dyDescent="0.25">
      <c r="B132" s="273" t="s">
        <v>375</v>
      </c>
      <c r="C132" s="273" t="s">
        <v>57</v>
      </c>
      <c r="D132" s="278">
        <f>E1G2G!D147</f>
        <v>0</v>
      </c>
      <c r="E132" s="259"/>
      <c r="F132" s="278">
        <f>D132*'Dados auxiliares'!$H$108</f>
        <v>0</v>
      </c>
      <c r="G132" s="598"/>
      <c r="H132" s="294" t="e">
        <f t="shared" si="11"/>
        <v>#DIV/0!</v>
      </c>
      <c r="I132" s="294" t="e">
        <f t="shared" si="14"/>
        <v>#DIV/0!</v>
      </c>
    </row>
    <row r="133" spans="1:9" x14ac:dyDescent="0.25">
      <c r="B133" s="273" t="s">
        <v>372</v>
      </c>
      <c r="C133" s="273" t="s">
        <v>57</v>
      </c>
      <c r="D133" s="278">
        <f>E1G2G!D148</f>
        <v>0</v>
      </c>
      <c r="E133" s="259"/>
      <c r="F133" s="278">
        <f>D133*'Dados auxiliares'!$H$109</f>
        <v>0</v>
      </c>
      <c r="G133" s="598"/>
      <c r="H133" s="294" t="e">
        <f t="shared" si="11"/>
        <v>#DIV/0!</v>
      </c>
      <c r="I133" s="294" t="e">
        <f t="shared" si="14"/>
        <v>#DIV/0!</v>
      </c>
    </row>
    <row r="134" spans="1:9" x14ac:dyDescent="0.25">
      <c r="B134" s="273" t="s">
        <v>373</v>
      </c>
      <c r="C134" s="273" t="s">
        <v>57</v>
      </c>
      <c r="D134" s="278">
        <f>E1G2G!D149</f>
        <v>0</v>
      </c>
      <c r="E134" s="259"/>
      <c r="F134" s="278">
        <f>D134*'Dados auxiliares'!$H$110</f>
        <v>0</v>
      </c>
      <c r="G134" s="598"/>
      <c r="H134" s="294" t="e">
        <f t="shared" si="11"/>
        <v>#DIV/0!</v>
      </c>
      <c r="I134" s="294" t="e">
        <f t="shared" si="14"/>
        <v>#DIV/0!</v>
      </c>
    </row>
    <row r="135" spans="1:9" x14ac:dyDescent="0.25">
      <c r="B135" s="273" t="s">
        <v>374</v>
      </c>
      <c r="C135" s="273" t="s">
        <v>57</v>
      </c>
      <c r="D135" s="278">
        <f>E1G2G!D150</f>
        <v>0</v>
      </c>
      <c r="E135" s="259"/>
      <c r="F135" s="278">
        <f>D135*'Dados auxiliares'!$H$111</f>
        <v>0</v>
      </c>
      <c r="G135" s="598"/>
      <c r="H135" s="294" t="e">
        <f t="shared" si="11"/>
        <v>#DIV/0!</v>
      </c>
      <c r="I135" s="294" t="e">
        <f t="shared" si="14"/>
        <v>#DIV/0!</v>
      </c>
    </row>
    <row r="136" spans="1:9" ht="18" x14ac:dyDescent="0.25">
      <c r="A136" s="230"/>
      <c r="B136" s="283" t="s">
        <v>52</v>
      </c>
      <c r="C136" s="306" t="s">
        <v>0</v>
      </c>
      <c r="D136" s="306" t="s">
        <v>56</v>
      </c>
      <c r="E136" s="283"/>
      <c r="F136" s="283" t="s">
        <v>508</v>
      </c>
      <c r="G136" s="272"/>
      <c r="H136" s="283" t="s">
        <v>535</v>
      </c>
      <c r="I136" s="283" t="s">
        <v>535</v>
      </c>
    </row>
    <row r="137" spans="1:9" x14ac:dyDescent="0.25">
      <c r="A137" s="299"/>
      <c r="B137" s="273" t="s">
        <v>521</v>
      </c>
      <c r="C137" s="273" t="s">
        <v>1</v>
      </c>
      <c r="D137" s="278">
        <f>$D$117*'FE''s queima combustíveis'!$I$36/1000</f>
        <v>0</v>
      </c>
      <c r="E137" s="259"/>
      <c r="F137" s="238">
        <f>D137*1000</f>
        <v>0</v>
      </c>
      <c r="G137" s="590"/>
      <c r="H137" s="294" t="e">
        <f t="shared" si="11"/>
        <v>#DIV/0!</v>
      </c>
      <c r="I137" s="294" t="e">
        <f t="shared" ref="I137:I148" si="15">(F137/$E$92)*$F$92</f>
        <v>#DIV/0!</v>
      </c>
    </row>
    <row r="138" spans="1:9" x14ac:dyDescent="0.25">
      <c r="A138" s="299"/>
      <c r="B138" s="273" t="s">
        <v>522</v>
      </c>
      <c r="C138" s="273" t="s">
        <v>1</v>
      </c>
      <c r="D138" s="278">
        <f>$D$118*'FE''s queima combustíveis'!$I$37/1000</f>
        <v>0</v>
      </c>
      <c r="E138" s="259"/>
      <c r="F138" s="238">
        <f t="shared" ref="F138:F148" si="16">D138*1000</f>
        <v>0</v>
      </c>
      <c r="G138" s="590"/>
      <c r="H138" s="294" t="e">
        <f t="shared" si="11"/>
        <v>#DIV/0!</v>
      </c>
      <c r="I138" s="294" t="e">
        <f t="shared" si="15"/>
        <v>#DIV/0!</v>
      </c>
    </row>
    <row r="139" spans="1:9" x14ac:dyDescent="0.25">
      <c r="A139" s="299"/>
      <c r="B139" s="273" t="s">
        <v>516</v>
      </c>
      <c r="C139" s="273" t="s">
        <v>1</v>
      </c>
      <c r="D139" s="278">
        <f>$D$119*'FE''s queima combustíveis'!$I$36/1000</f>
        <v>0</v>
      </c>
      <c r="E139" s="259"/>
      <c r="F139" s="238">
        <f t="shared" si="16"/>
        <v>0</v>
      </c>
      <c r="G139" s="590"/>
      <c r="H139" s="294" t="e">
        <f t="shared" si="11"/>
        <v>#DIV/0!</v>
      </c>
      <c r="I139" s="294" t="e">
        <f t="shared" si="15"/>
        <v>#DIV/0!</v>
      </c>
    </row>
    <row r="140" spans="1:9" x14ac:dyDescent="0.25">
      <c r="A140" s="299"/>
      <c r="B140" s="273" t="s">
        <v>517</v>
      </c>
      <c r="C140" s="273" t="s">
        <v>1</v>
      </c>
      <c r="D140" s="278">
        <f>$D$121*'FE''s queima combustíveis'!$I$37/1000</f>
        <v>0</v>
      </c>
      <c r="E140" s="259"/>
      <c r="F140" s="238">
        <f t="shared" si="16"/>
        <v>0</v>
      </c>
      <c r="G140" s="590"/>
      <c r="H140" s="294" t="e">
        <f t="shared" si="11"/>
        <v>#DIV/0!</v>
      </c>
      <c r="I140" s="294" t="e">
        <f t="shared" si="15"/>
        <v>#DIV/0!</v>
      </c>
    </row>
    <row r="141" spans="1:9" x14ac:dyDescent="0.25">
      <c r="A141" s="299"/>
      <c r="B141" s="273" t="s">
        <v>520</v>
      </c>
      <c r="C141" s="273" t="s">
        <v>1</v>
      </c>
      <c r="D141" s="278">
        <f>$D$123*'FE''s queima combustíveis'!$I$38/1000</f>
        <v>0</v>
      </c>
      <c r="E141" s="259"/>
      <c r="F141" s="238">
        <f t="shared" si="16"/>
        <v>0</v>
      </c>
      <c r="G141" s="590"/>
      <c r="H141" s="294" t="e">
        <f t="shared" si="11"/>
        <v>#DIV/0!</v>
      </c>
      <c r="I141" s="294" t="e">
        <f t="shared" si="15"/>
        <v>#DIV/0!</v>
      </c>
    </row>
    <row r="142" spans="1:9" x14ac:dyDescent="0.25">
      <c r="A142" s="299"/>
      <c r="B142" s="273" t="s">
        <v>518</v>
      </c>
      <c r="C142" s="273" t="s">
        <v>1</v>
      </c>
      <c r="D142" s="278">
        <f>$D$125*'FE''s queima combustíveis'!$I$39/1000</f>
        <v>0</v>
      </c>
      <c r="E142" s="259"/>
      <c r="F142" s="238">
        <f t="shared" si="16"/>
        <v>0</v>
      </c>
      <c r="G142" s="590"/>
      <c r="H142" s="294" t="e">
        <f t="shared" si="11"/>
        <v>#DIV/0!</v>
      </c>
      <c r="I142" s="294" t="e">
        <f t="shared" si="15"/>
        <v>#DIV/0!</v>
      </c>
    </row>
    <row r="143" spans="1:9" x14ac:dyDescent="0.25">
      <c r="A143" s="299"/>
      <c r="B143" s="273" t="s">
        <v>519</v>
      </c>
      <c r="C143" s="273" t="s">
        <v>1</v>
      </c>
      <c r="D143" s="278">
        <f>$D$127*'FE''s queima combustíveis'!$I$40/1000</f>
        <v>0</v>
      </c>
      <c r="E143" s="259"/>
      <c r="F143" s="238">
        <f t="shared" si="16"/>
        <v>0</v>
      </c>
      <c r="G143" s="590"/>
      <c r="H143" s="294" t="e">
        <f t="shared" si="11"/>
        <v>#DIV/0!</v>
      </c>
      <c r="I143" s="294" t="e">
        <f t="shared" si="15"/>
        <v>#DIV/0!</v>
      </c>
    </row>
    <row r="144" spans="1:9" x14ac:dyDescent="0.25">
      <c r="A144" s="299"/>
      <c r="B144" s="273" t="s">
        <v>848</v>
      </c>
      <c r="C144" s="273" t="s">
        <v>1</v>
      </c>
      <c r="D144" s="278">
        <f>D129*'FE''s queima combustíveis'!$I$53/1000</f>
        <v>0</v>
      </c>
      <c r="E144" s="259"/>
      <c r="F144" s="238">
        <f t="shared" si="16"/>
        <v>0</v>
      </c>
      <c r="G144" s="590"/>
      <c r="H144" s="294" t="e">
        <f t="shared" si="11"/>
        <v>#DIV/0!</v>
      </c>
      <c r="I144" s="294" t="e">
        <f t="shared" si="15"/>
        <v>#DIV/0!</v>
      </c>
    </row>
    <row r="145" spans="1:10" x14ac:dyDescent="0.25">
      <c r="A145" s="299"/>
      <c r="B145" s="273" t="s">
        <v>849</v>
      </c>
      <c r="C145" s="273" t="s">
        <v>1</v>
      </c>
      <c r="D145" s="278">
        <f>E1G2G!D142*'Dados auxiliares'!$D$16*'FE''s queima combustíveis'!$I$57/1000</f>
        <v>0</v>
      </c>
      <c r="E145" s="259"/>
      <c r="F145" s="238">
        <f t="shared" si="16"/>
        <v>0</v>
      </c>
      <c r="G145" s="590"/>
      <c r="H145" s="294" t="e">
        <f t="shared" si="11"/>
        <v>#DIV/0!</v>
      </c>
      <c r="I145" s="294" t="e">
        <f t="shared" si="15"/>
        <v>#DIV/0!</v>
      </c>
    </row>
    <row r="146" spans="1:10" x14ac:dyDescent="0.25">
      <c r="A146" s="299"/>
      <c r="B146" s="273" t="s">
        <v>850</v>
      </c>
      <c r="C146" s="273" t="s">
        <v>1</v>
      </c>
      <c r="D146" s="278">
        <f>E1G2G!D143*'Dados auxiliares'!$D$15*'FE''s queima combustíveis'!$I$55/1000</f>
        <v>0</v>
      </c>
      <c r="E146" s="259"/>
      <c r="F146" s="238">
        <f t="shared" si="16"/>
        <v>0</v>
      </c>
      <c r="G146" s="590"/>
      <c r="H146" s="294" t="e">
        <f t="shared" si="11"/>
        <v>#DIV/0!</v>
      </c>
      <c r="I146" s="294" t="e">
        <f t="shared" si="15"/>
        <v>#DIV/0!</v>
      </c>
    </row>
    <row r="147" spans="1:10" x14ac:dyDescent="0.25">
      <c r="A147" s="299"/>
      <c r="B147" s="273" t="s">
        <v>925</v>
      </c>
      <c r="C147" s="273" t="s">
        <v>1</v>
      </c>
      <c r="D147" s="278">
        <f>E1G2G!D144*E1G2G!G144*'FE''s queima combustíveis'!$I$41/1000</f>
        <v>0</v>
      </c>
      <c r="E147" s="259"/>
      <c r="F147" s="238">
        <f t="shared" si="16"/>
        <v>0</v>
      </c>
      <c r="G147" s="590"/>
      <c r="H147" s="294" t="e">
        <f t="shared" si="11"/>
        <v>#DIV/0!</v>
      </c>
      <c r="I147" s="294" t="e">
        <f t="shared" si="15"/>
        <v>#DIV/0!</v>
      </c>
    </row>
    <row r="148" spans="1:10" x14ac:dyDescent="0.25">
      <c r="A148" s="299"/>
      <c r="B148" s="273" t="s">
        <v>926</v>
      </c>
      <c r="C148" s="273" t="s">
        <v>1</v>
      </c>
      <c r="D148" s="278">
        <f>E1G2G!D145*E1G2G!G145*'FE''s queima combustíveis'!$I$41/1000</f>
        <v>0</v>
      </c>
      <c r="E148" s="259"/>
      <c r="F148" s="238">
        <f t="shared" si="16"/>
        <v>0</v>
      </c>
      <c r="G148" s="590"/>
      <c r="H148" s="294" t="e">
        <f t="shared" si="11"/>
        <v>#DIV/0!</v>
      </c>
      <c r="I148" s="294" t="e">
        <f t="shared" si="15"/>
        <v>#DIV/0!</v>
      </c>
    </row>
    <row r="149" spans="1:10" ht="6" customHeight="1" x14ac:dyDescent="0.25">
      <c r="A149" s="268"/>
      <c r="B149" s="163"/>
      <c r="C149" s="163"/>
      <c r="D149" s="260"/>
      <c r="E149" s="269"/>
      <c r="F149" s="270"/>
      <c r="G149" s="599"/>
      <c r="H149" s="260"/>
      <c r="I149" s="265"/>
    </row>
    <row r="150" spans="1:10" ht="18" x14ac:dyDescent="0.25">
      <c r="A150" s="268"/>
      <c r="B150" s="276" t="s">
        <v>54</v>
      </c>
      <c r="C150" s="274" t="s">
        <v>509</v>
      </c>
      <c r="D150" s="241"/>
      <c r="E150" s="275"/>
      <c r="F150" s="290">
        <f>SUM(F137:F148)</f>
        <v>0</v>
      </c>
      <c r="G150" s="597"/>
      <c r="H150" s="290" t="e">
        <f>(F150/$E$91)*$F$91</f>
        <v>#DIV/0!</v>
      </c>
      <c r="I150" s="290" t="e">
        <f t="shared" ref="I150:I152" si="17">(F150/$E$92)*$F$92</f>
        <v>#DIV/0!</v>
      </c>
    </row>
    <row r="151" spans="1:10" ht="18" customHeight="1" x14ac:dyDescent="0.25">
      <c r="A151" s="240"/>
      <c r="B151" s="276" t="s">
        <v>61</v>
      </c>
      <c r="C151" s="274" t="s">
        <v>509</v>
      </c>
      <c r="D151" s="241"/>
      <c r="E151" s="275"/>
      <c r="F151" s="290" t="e">
        <f>SUM(F97:F135)</f>
        <v>#DIV/0!</v>
      </c>
      <c r="G151" s="597"/>
      <c r="H151" s="290" t="e">
        <f>(F151/$E$91)*$F$91</f>
        <v>#DIV/0!</v>
      </c>
      <c r="I151" s="290" t="e">
        <f t="shared" si="17"/>
        <v>#DIV/0!</v>
      </c>
    </row>
    <row r="152" spans="1:10" ht="18" x14ac:dyDescent="0.25">
      <c r="B152" s="276" t="s">
        <v>55</v>
      </c>
      <c r="C152" s="274" t="s">
        <v>509</v>
      </c>
      <c r="D152" s="241"/>
      <c r="E152" s="275"/>
      <c r="F152" s="290" t="e">
        <f>F150+F151</f>
        <v>#DIV/0!</v>
      </c>
      <c r="G152" s="597"/>
      <c r="H152" s="290" t="e">
        <f t="shared" si="11"/>
        <v>#DIV/0!</v>
      </c>
      <c r="I152" s="290" t="e">
        <f t="shared" si="17"/>
        <v>#DIV/0!</v>
      </c>
    </row>
    <row r="153" spans="1:10" x14ac:dyDescent="0.25">
      <c r="B153" s="166"/>
      <c r="C153" s="254"/>
      <c r="D153" s="260"/>
      <c r="E153" s="266"/>
      <c r="F153" s="159"/>
      <c r="G153" s="159"/>
      <c r="H153" s="260"/>
      <c r="I153" s="262"/>
    </row>
    <row r="154" spans="1:10" s="71" customFormat="1" x14ac:dyDescent="0.25">
      <c r="B154" s="231"/>
      <c r="C154" s="231"/>
      <c r="D154" s="231"/>
      <c r="E154" s="271"/>
      <c r="F154" s="272"/>
      <c r="G154" s="272"/>
      <c r="H154" s="249"/>
      <c r="I154" s="250"/>
    </row>
    <row r="155" spans="1:10" s="71" customFormat="1" ht="18.75" x14ac:dyDescent="0.25">
      <c r="B155" s="737" t="s">
        <v>524</v>
      </c>
      <c r="C155" s="737"/>
      <c r="D155" s="737"/>
      <c r="E155" s="737"/>
      <c r="F155" s="737"/>
      <c r="G155" s="453"/>
      <c r="H155" s="249"/>
      <c r="I155" s="250"/>
    </row>
    <row r="156" spans="1:10" s="71" customFormat="1" x14ac:dyDescent="0.25">
      <c r="B156" s="573" t="s">
        <v>904</v>
      </c>
      <c r="C156" s="306"/>
      <c r="D156" s="306"/>
      <c r="E156" s="306"/>
      <c r="F156" s="306"/>
      <c r="G156" s="583"/>
      <c r="H156" s="249"/>
      <c r="I156" s="250"/>
    </row>
    <row r="157" spans="1:10" s="71" customFormat="1" x14ac:dyDescent="0.25">
      <c r="B157" s="300" t="s">
        <v>529</v>
      </c>
      <c r="C157" s="300" t="s">
        <v>0</v>
      </c>
      <c r="D157" s="300" t="s">
        <v>45</v>
      </c>
      <c r="E157" s="300" t="s">
        <v>46</v>
      </c>
      <c r="F157" s="300"/>
      <c r="G157" s="600"/>
      <c r="H157"/>
      <c r="I157"/>
      <c r="J157"/>
    </row>
    <row r="158" spans="1:10" s="71" customFormat="1" ht="18" x14ac:dyDescent="0.25">
      <c r="B158" s="273" t="s">
        <v>525</v>
      </c>
      <c r="C158" s="274" t="s">
        <v>526</v>
      </c>
      <c r="D158" s="278">
        <f>$D$91*E1G2G!$D$156</f>
        <v>0</v>
      </c>
      <c r="E158" s="278">
        <f>$D$92*E1G2G!$D$162</f>
        <v>0</v>
      </c>
      <c r="F158" s="278"/>
      <c r="G158" s="598"/>
      <c r="H158"/>
      <c r="I158"/>
      <c r="J158"/>
    </row>
    <row r="159" spans="1:10" s="71" customFormat="1" x14ac:dyDescent="0.25">
      <c r="B159" s="273" t="s">
        <v>531</v>
      </c>
      <c r="C159" s="273" t="s">
        <v>258</v>
      </c>
      <c r="D159" s="608">
        <f>'Dados auxiliares'!C154</f>
        <v>700</v>
      </c>
      <c r="E159" s="608">
        <f>'Dados auxiliares'!C154</f>
        <v>700</v>
      </c>
      <c r="F159" s="277"/>
      <c r="G159" s="544"/>
      <c r="H159"/>
      <c r="I159"/>
      <c r="J159"/>
    </row>
    <row r="160" spans="1:10" s="71" customFormat="1" ht="18" x14ac:dyDescent="0.25">
      <c r="B160" s="273" t="s">
        <v>528</v>
      </c>
      <c r="C160" s="274" t="s">
        <v>527</v>
      </c>
      <c r="D160" s="278">
        <f>D158/1000*D159</f>
        <v>0</v>
      </c>
      <c r="E160" s="278">
        <f>E158/1000*E159</f>
        <v>0</v>
      </c>
      <c r="F160" s="278"/>
      <c r="G160" s="598"/>
      <c r="H160"/>
      <c r="I160"/>
      <c r="J160"/>
    </row>
    <row r="161" spans="2:10" s="71" customFormat="1" ht="18" x14ac:dyDescent="0.25">
      <c r="B161" s="273" t="s">
        <v>52</v>
      </c>
      <c r="C161" s="274" t="s">
        <v>509</v>
      </c>
      <c r="D161" s="278">
        <f>D160*'Dados auxiliares'!$H$132</f>
        <v>0</v>
      </c>
      <c r="E161" s="278">
        <f>E160*'Dados auxiliares'!$H$132</f>
        <v>0</v>
      </c>
      <c r="F161" s="278"/>
      <c r="G161" s="598"/>
      <c r="H161"/>
      <c r="I161"/>
      <c r="J161"/>
    </row>
    <row r="162" spans="2:10" s="71" customFormat="1" ht="18" x14ac:dyDescent="0.25">
      <c r="B162" s="302" t="s">
        <v>52</v>
      </c>
      <c r="C162" s="303" t="s">
        <v>530</v>
      </c>
      <c r="D162" s="304" t="e">
        <f>D161/$E$91</f>
        <v>#DIV/0!</v>
      </c>
      <c r="E162" s="304" t="e">
        <f>E161/$E$92</f>
        <v>#DIV/0!</v>
      </c>
      <c r="F162" s="304"/>
      <c r="G162" s="601"/>
      <c r="H162"/>
      <c r="I162"/>
      <c r="J162"/>
    </row>
    <row r="163" spans="2:10" s="71" customFormat="1" x14ac:dyDescent="0.25">
      <c r="B163" s="573" t="s">
        <v>905</v>
      </c>
      <c r="C163" s="306"/>
      <c r="D163" s="306"/>
      <c r="E163" s="306"/>
      <c r="F163" s="306"/>
      <c r="G163" s="583"/>
      <c r="H163"/>
      <c r="I163"/>
      <c r="J163"/>
    </row>
    <row r="164" spans="2:10" s="71" customFormat="1" x14ac:dyDescent="0.25">
      <c r="B164" s="300" t="s">
        <v>529</v>
      </c>
      <c r="C164" s="300" t="s">
        <v>0</v>
      </c>
      <c r="D164" s="300" t="s">
        <v>45</v>
      </c>
      <c r="E164" s="300" t="s">
        <v>46</v>
      </c>
      <c r="F164" s="300"/>
      <c r="G164" s="600"/>
      <c r="H164"/>
      <c r="I164"/>
      <c r="J164"/>
    </row>
    <row r="165" spans="2:10" s="71" customFormat="1" ht="18" x14ac:dyDescent="0.25">
      <c r="B165" s="273" t="s">
        <v>525</v>
      </c>
      <c r="C165" s="274" t="s">
        <v>526</v>
      </c>
      <c r="D165" s="278">
        <f>$D$91*E1G2G!$D$157</f>
        <v>0</v>
      </c>
      <c r="E165" s="278">
        <f>$D$92*E1G2G!$D$163</f>
        <v>0</v>
      </c>
      <c r="F165" s="301"/>
      <c r="G165" s="601"/>
      <c r="H165"/>
      <c r="I165"/>
      <c r="J165"/>
    </row>
    <row r="166" spans="2:10" s="71" customFormat="1" x14ac:dyDescent="0.25">
      <c r="B166" s="273" t="s">
        <v>531</v>
      </c>
      <c r="C166" s="273" t="s">
        <v>258</v>
      </c>
      <c r="D166" s="608">
        <f>'Dados auxiliares'!E154</f>
        <v>200</v>
      </c>
      <c r="E166" s="608">
        <f>'Dados auxiliares'!E154</f>
        <v>200</v>
      </c>
      <c r="F166" s="301"/>
      <c r="G166" s="601"/>
      <c r="H166"/>
      <c r="I166"/>
      <c r="J166"/>
    </row>
    <row r="167" spans="2:10" s="71" customFormat="1" ht="18" x14ac:dyDescent="0.25">
      <c r="B167" s="273" t="s">
        <v>528</v>
      </c>
      <c r="C167" s="274" t="s">
        <v>527</v>
      </c>
      <c r="D167" s="607">
        <f>D165/1000*D166</f>
        <v>0</v>
      </c>
      <c r="E167" s="607">
        <f>E165/1000*E166</f>
        <v>0</v>
      </c>
      <c r="F167" s="301"/>
      <c r="G167" s="601"/>
      <c r="H167"/>
      <c r="I167"/>
      <c r="J167"/>
    </row>
    <row r="168" spans="2:10" s="71" customFormat="1" x14ac:dyDescent="0.25">
      <c r="B168" s="273" t="s">
        <v>532</v>
      </c>
      <c r="C168" s="273" t="s">
        <v>258</v>
      </c>
      <c r="D168" s="608">
        <f>'Dados auxiliares'!D154</f>
        <v>500</v>
      </c>
      <c r="E168" s="608">
        <f>'Dados auxiliares'!D154</f>
        <v>500</v>
      </c>
      <c r="F168" s="301"/>
      <c r="G168" s="601"/>
      <c r="H168" s="70"/>
    </row>
    <row r="169" spans="2:10" s="71" customFormat="1" ht="18" x14ac:dyDescent="0.25">
      <c r="B169" s="273" t="s">
        <v>533</v>
      </c>
      <c r="C169" s="274" t="s">
        <v>527</v>
      </c>
      <c r="D169" s="278">
        <f>D165/1000*D168</f>
        <v>0</v>
      </c>
      <c r="E169" s="278">
        <f>E165/1000*E168</f>
        <v>0</v>
      </c>
      <c r="F169" s="301"/>
      <c r="G169" s="601"/>
      <c r="H169" s="70"/>
    </row>
    <row r="170" spans="2:10" s="71" customFormat="1" ht="18" x14ac:dyDescent="0.25">
      <c r="B170" s="273" t="s">
        <v>52</v>
      </c>
      <c r="C170" s="274" t="s">
        <v>509</v>
      </c>
      <c r="D170" s="278">
        <f>D167*'Dados auxiliares'!$H$132+D169*'Dados auxiliares'!$H$136</f>
        <v>0</v>
      </c>
      <c r="E170" s="278">
        <f>E167*'Dados auxiliares'!$H$132+E169*'Dados auxiliares'!$H$136</f>
        <v>0</v>
      </c>
      <c r="F170" s="301"/>
      <c r="G170" s="601"/>
      <c r="H170" s="70"/>
    </row>
    <row r="171" spans="2:10" s="71" customFormat="1" ht="18" x14ac:dyDescent="0.25">
      <c r="B171" s="302" t="s">
        <v>52</v>
      </c>
      <c r="C171" s="303" t="s">
        <v>530</v>
      </c>
      <c r="D171" s="304" t="e">
        <f>D170/$E$91</f>
        <v>#DIV/0!</v>
      </c>
      <c r="E171" s="304" t="e">
        <f>E170/$E$92</f>
        <v>#DIV/0!</v>
      </c>
      <c r="F171" s="304"/>
      <c r="G171" s="601"/>
      <c r="H171" s="70"/>
    </row>
    <row r="172" spans="2:10" s="71" customFormat="1" x14ac:dyDescent="0.25">
      <c r="B172" s="573" t="s">
        <v>906</v>
      </c>
      <c r="C172" s="306"/>
      <c r="D172" s="306"/>
      <c r="E172" s="306"/>
      <c r="F172" s="306"/>
      <c r="G172" s="583"/>
      <c r="H172" s="70"/>
    </row>
    <row r="173" spans="2:10" s="71" customFormat="1" x14ac:dyDescent="0.25">
      <c r="B173" s="300" t="s">
        <v>529</v>
      </c>
      <c r="C173" s="300" t="s">
        <v>0</v>
      </c>
      <c r="D173" s="300" t="s">
        <v>45</v>
      </c>
      <c r="E173" s="300" t="s">
        <v>46</v>
      </c>
      <c r="F173" s="300"/>
      <c r="G173" s="600"/>
      <c r="H173" s="70"/>
    </row>
    <row r="174" spans="2:10" s="71" customFormat="1" ht="18" x14ac:dyDescent="0.25">
      <c r="B174" s="273" t="s">
        <v>525</v>
      </c>
      <c r="C174" s="274" t="s">
        <v>526</v>
      </c>
      <c r="D174" s="278">
        <f>$D$91*E1G2G!$D$158</f>
        <v>0</v>
      </c>
      <c r="E174" s="278">
        <f>$D$92*E1G2G!$D$164</f>
        <v>0</v>
      </c>
      <c r="F174" s="301"/>
      <c r="G174" s="601"/>
      <c r="H174" s="70"/>
    </row>
    <row r="175" spans="2:10" s="71" customFormat="1" x14ac:dyDescent="0.25">
      <c r="B175" s="273" t="s">
        <v>531</v>
      </c>
      <c r="C175" s="273" t="s">
        <v>258</v>
      </c>
      <c r="D175" s="608">
        <f>'Dados auxiliares'!G154</f>
        <v>400</v>
      </c>
      <c r="E175" s="608">
        <f>'Dados auxiliares'!G154</f>
        <v>400</v>
      </c>
      <c r="F175" s="301"/>
      <c r="G175" s="601"/>
      <c r="H175" s="70"/>
    </row>
    <row r="176" spans="2:10" s="71" customFormat="1" ht="18" x14ac:dyDescent="0.25">
      <c r="B176" s="273" t="s">
        <v>528</v>
      </c>
      <c r="C176" s="274" t="s">
        <v>527</v>
      </c>
      <c r="D176" s="278">
        <f>D174/1000*D175</f>
        <v>0</v>
      </c>
      <c r="E176" s="278">
        <f>E174/1000*E175</f>
        <v>0</v>
      </c>
      <c r="F176" s="301"/>
      <c r="G176" s="601"/>
      <c r="H176" s="70"/>
    </row>
    <row r="177" spans="2:8" s="71" customFormat="1" x14ac:dyDescent="0.25">
      <c r="B177" s="273" t="s">
        <v>534</v>
      </c>
      <c r="C177" s="273" t="s">
        <v>258</v>
      </c>
      <c r="D177" s="608">
        <f>'Dados auxiliares'!F154</f>
        <v>300</v>
      </c>
      <c r="E177" s="608">
        <f>'Dados auxiliares'!F154</f>
        <v>300</v>
      </c>
      <c r="F177" s="301"/>
      <c r="G177" s="601"/>
      <c r="H177" s="70"/>
    </row>
    <row r="178" spans="2:8" s="71" customFormat="1" ht="18" x14ac:dyDescent="0.25">
      <c r="B178" s="273" t="s">
        <v>311</v>
      </c>
      <c r="C178" s="274" t="s">
        <v>527</v>
      </c>
      <c r="D178" s="278">
        <f>D174/1000*D177</f>
        <v>0</v>
      </c>
      <c r="E178" s="278">
        <f>E174/1000*E177</f>
        <v>0</v>
      </c>
      <c r="F178" s="301"/>
      <c r="G178" s="601"/>
      <c r="H178" s="70"/>
    </row>
    <row r="179" spans="2:8" s="71" customFormat="1" ht="18" x14ac:dyDescent="0.25">
      <c r="B179" s="273" t="s">
        <v>52</v>
      </c>
      <c r="C179" s="274" t="s">
        <v>509</v>
      </c>
      <c r="D179" s="278">
        <f>D176*'Dados auxiliares'!$H$132+D178*'Dados auxiliares'!$H$135</f>
        <v>0</v>
      </c>
      <c r="E179" s="278">
        <f>E176*'Dados auxiliares'!$H$132+E178*'Dados auxiliares'!$H$135</f>
        <v>0</v>
      </c>
      <c r="F179" s="301"/>
      <c r="G179" s="601"/>
      <c r="H179" s="70"/>
    </row>
    <row r="180" spans="2:8" s="71" customFormat="1" ht="18" x14ac:dyDescent="0.25">
      <c r="B180" s="302" t="s">
        <v>52</v>
      </c>
      <c r="C180" s="303" t="s">
        <v>530</v>
      </c>
      <c r="D180" s="304" t="e">
        <f>D179/$E$91</f>
        <v>#DIV/0!</v>
      </c>
      <c r="E180" s="304" t="e">
        <f>E179/$E$92</f>
        <v>#DIV/0!</v>
      </c>
      <c r="F180" s="304"/>
      <c r="G180" s="601"/>
      <c r="H180" s="70"/>
    </row>
    <row r="181" spans="2:8" s="71" customFormat="1" ht="6" customHeight="1" x14ac:dyDescent="0.25">
      <c r="H181" s="70"/>
    </row>
    <row r="182" spans="2:8" s="71" customFormat="1" ht="18" x14ac:dyDescent="0.25">
      <c r="B182" s="279" t="s">
        <v>55</v>
      </c>
      <c r="C182" s="279" t="s">
        <v>535</v>
      </c>
      <c r="D182" s="305" t="e">
        <f>D162+D171+D180</f>
        <v>#DIV/0!</v>
      </c>
      <c r="E182" s="305" t="e">
        <f>E162+E171+E180</f>
        <v>#DIV/0!</v>
      </c>
      <c r="F182" s="305"/>
      <c r="G182" s="602"/>
      <c r="H182" s="70"/>
    </row>
    <row r="183" spans="2:8" s="71" customFormat="1" x14ac:dyDescent="0.25">
      <c r="B183" s="70"/>
      <c r="C183" s="70"/>
      <c r="D183" s="70"/>
      <c r="E183" s="261"/>
      <c r="F183" s="230"/>
      <c r="G183" s="230"/>
      <c r="H183" s="70"/>
    </row>
    <row r="184" spans="2:8" s="71" customFormat="1" x14ac:dyDescent="0.25">
      <c r="B184" s="70"/>
      <c r="C184" s="70"/>
      <c r="D184" s="70"/>
      <c r="E184" s="261"/>
      <c r="F184" s="230"/>
      <c r="G184" s="230"/>
      <c r="H184" s="70"/>
    </row>
    <row r="185" spans="2:8" s="71" customFormat="1" x14ac:dyDescent="0.25">
      <c r="B185" s="70"/>
      <c r="C185" s="70"/>
      <c r="D185" s="70"/>
      <c r="E185" s="261"/>
      <c r="F185" s="230"/>
      <c r="G185" s="230"/>
      <c r="H185" s="70"/>
    </row>
    <row r="186" spans="2:8" s="71" customFormat="1" x14ac:dyDescent="0.25">
      <c r="B186" s="70"/>
      <c r="C186" s="70"/>
      <c r="D186" s="70"/>
      <c r="E186" s="261"/>
      <c r="F186" s="230"/>
      <c r="G186" s="230"/>
      <c r="H186" s="70"/>
    </row>
    <row r="187" spans="2:8" s="71" customFormat="1" x14ac:dyDescent="0.25">
      <c r="B187" s="70"/>
      <c r="C187" s="70"/>
      <c r="D187" s="70"/>
      <c r="E187" s="261"/>
      <c r="F187" s="230"/>
      <c r="G187" s="230"/>
      <c r="H187" s="70"/>
    </row>
    <row r="188" spans="2:8" s="71" customFormat="1" x14ac:dyDescent="0.25">
      <c r="B188" s="70"/>
      <c r="C188" s="70"/>
      <c r="D188" s="70"/>
      <c r="E188" s="261"/>
      <c r="F188" s="230"/>
      <c r="G188" s="230"/>
      <c r="H188" s="70"/>
    </row>
    <row r="189" spans="2:8" s="71" customFormat="1" x14ac:dyDescent="0.25">
      <c r="B189" s="70"/>
      <c r="C189" s="70"/>
      <c r="D189" s="70"/>
      <c r="E189" s="261"/>
      <c r="F189" s="230"/>
      <c r="G189" s="230"/>
      <c r="H189" s="70"/>
    </row>
    <row r="190" spans="2:8" s="71" customFormat="1" x14ac:dyDescent="0.25">
      <c r="B190" s="70"/>
      <c r="C190" s="70"/>
      <c r="D190" s="70"/>
      <c r="E190" s="261"/>
      <c r="F190" s="230"/>
      <c r="G190" s="230"/>
      <c r="H190" s="70"/>
    </row>
    <row r="191" spans="2:8" s="71" customFormat="1" x14ac:dyDescent="0.25">
      <c r="B191" s="70"/>
      <c r="C191" s="70"/>
      <c r="D191" s="70"/>
      <c r="E191" s="261"/>
      <c r="F191" s="230"/>
      <c r="G191" s="230"/>
      <c r="H191" s="70"/>
    </row>
    <row r="192" spans="2:8" s="71" customFormat="1" x14ac:dyDescent="0.25">
      <c r="B192" s="70"/>
      <c r="C192" s="70"/>
      <c r="D192" s="70"/>
      <c r="E192" s="261"/>
      <c r="F192" s="230"/>
      <c r="G192" s="230"/>
      <c r="H192" s="70"/>
    </row>
    <row r="193" spans="1:9" s="71" customFormat="1" x14ac:dyDescent="0.25">
      <c r="B193" s="70"/>
      <c r="C193" s="70"/>
      <c r="D193" s="70"/>
      <c r="E193" s="261"/>
      <c r="F193" s="230"/>
      <c r="G193" s="230"/>
      <c r="H193" s="70"/>
    </row>
    <row r="194" spans="1:9" s="230" customFormat="1" x14ac:dyDescent="0.25">
      <c r="A194" s="71"/>
      <c r="B194" s="70"/>
      <c r="C194" s="70"/>
      <c r="D194" s="70"/>
      <c r="E194" s="261"/>
      <c r="H194" s="70"/>
      <c r="I194" s="71"/>
    </row>
    <row r="195" spans="1:9" s="230" customFormat="1" x14ac:dyDescent="0.25">
      <c r="A195" s="71"/>
      <c r="B195" s="70"/>
      <c r="C195" s="70"/>
      <c r="D195" s="70"/>
      <c r="E195" s="261"/>
      <c r="H195" s="70"/>
      <c r="I195" s="71"/>
    </row>
    <row r="196" spans="1:9" s="230" customFormat="1" x14ac:dyDescent="0.25">
      <c r="A196" s="71"/>
      <c r="B196" s="70"/>
      <c r="C196" s="70"/>
      <c r="D196" s="70"/>
      <c r="E196" s="261"/>
      <c r="H196" s="70"/>
      <c r="I196" s="71"/>
    </row>
    <row r="197" spans="1:9" s="230" customFormat="1" x14ac:dyDescent="0.25">
      <c r="A197" s="71"/>
      <c r="B197" s="70"/>
      <c r="C197" s="70"/>
      <c r="D197" s="70"/>
      <c r="E197" s="261"/>
      <c r="H197" s="70"/>
      <c r="I197" s="71"/>
    </row>
    <row r="198" spans="1:9" s="230" customFormat="1" x14ac:dyDescent="0.25">
      <c r="A198" s="71"/>
      <c r="B198" s="70"/>
      <c r="C198" s="70"/>
      <c r="D198" s="70"/>
      <c r="E198" s="261"/>
      <c r="H198" s="70"/>
      <c r="I198" s="71"/>
    </row>
    <row r="199" spans="1:9" s="230" customFormat="1" x14ac:dyDescent="0.25">
      <c r="A199" s="71"/>
      <c r="B199" s="70"/>
      <c r="C199" s="70"/>
      <c r="D199" s="70"/>
      <c r="E199" s="261"/>
      <c r="H199" s="70"/>
      <c r="I199" s="71"/>
    </row>
    <row r="200" spans="1:9" s="230" customFormat="1" x14ac:dyDescent="0.25">
      <c r="A200" s="71"/>
      <c r="B200" s="70"/>
      <c r="C200" s="70"/>
      <c r="D200" s="70"/>
      <c r="E200" s="261"/>
      <c r="H200" s="70"/>
      <c r="I200" s="71"/>
    </row>
    <row r="201" spans="1:9" s="230" customFormat="1" x14ac:dyDescent="0.25">
      <c r="A201" s="71"/>
      <c r="B201" s="70"/>
      <c r="C201" s="70"/>
      <c r="D201" s="70"/>
      <c r="E201" s="261"/>
      <c r="H201" s="70"/>
      <c r="I201" s="71"/>
    </row>
    <row r="202" spans="1:9" s="230" customFormat="1" x14ac:dyDescent="0.25">
      <c r="A202" s="71"/>
      <c r="B202" s="70"/>
      <c r="C202" s="70"/>
      <c r="D202" s="70"/>
      <c r="E202" s="261"/>
      <c r="H202" s="70"/>
      <c r="I202" s="71"/>
    </row>
    <row r="203" spans="1:9" s="230" customFormat="1" x14ac:dyDescent="0.25">
      <c r="A203" s="71"/>
      <c r="B203" s="70"/>
      <c r="C203" s="70"/>
      <c r="D203" s="70"/>
      <c r="E203" s="261"/>
      <c r="H203" s="70"/>
      <c r="I203" s="71"/>
    </row>
    <row r="204" spans="1:9" s="230" customFormat="1" x14ac:dyDescent="0.25">
      <c r="A204" s="71"/>
      <c r="B204" s="70"/>
      <c r="C204" s="70"/>
      <c r="D204" s="70"/>
      <c r="E204" s="261"/>
      <c r="H204" s="70"/>
      <c r="I204" s="71"/>
    </row>
    <row r="205" spans="1:9" s="230" customFormat="1" x14ac:dyDescent="0.25">
      <c r="A205" s="71"/>
      <c r="B205" s="70"/>
      <c r="C205" s="70"/>
      <c r="D205" s="70"/>
      <c r="E205" s="261"/>
      <c r="H205" s="70"/>
      <c r="I205" s="71"/>
    </row>
    <row r="206" spans="1:9" s="230" customFormat="1" x14ac:dyDescent="0.25">
      <c r="A206" s="71"/>
      <c r="B206" s="70"/>
      <c r="C206" s="70"/>
      <c r="D206" s="70"/>
      <c r="E206" s="261"/>
      <c r="H206" s="70"/>
      <c r="I206" s="71"/>
    </row>
    <row r="207" spans="1:9" s="230" customFormat="1" x14ac:dyDescent="0.25">
      <c r="A207" s="71"/>
      <c r="B207" s="70"/>
      <c r="C207" s="70"/>
      <c r="D207" s="70"/>
      <c r="E207" s="261"/>
      <c r="H207" s="70"/>
      <c r="I207" s="71"/>
    </row>
    <row r="208" spans="1:9" s="230" customFormat="1" x14ac:dyDescent="0.25">
      <c r="A208" s="71"/>
      <c r="B208" s="70"/>
      <c r="C208" s="70"/>
      <c r="D208" s="70"/>
      <c r="E208" s="261"/>
      <c r="H208" s="70"/>
      <c r="I208" s="71"/>
    </row>
    <row r="209" spans="1:9" s="230" customFormat="1" x14ac:dyDescent="0.25">
      <c r="A209" s="71"/>
      <c r="B209" s="70"/>
      <c r="C209" s="70"/>
      <c r="D209" s="70"/>
      <c r="E209" s="261"/>
      <c r="H209" s="70"/>
      <c r="I209" s="71"/>
    </row>
    <row r="210" spans="1:9" s="230" customFormat="1" x14ac:dyDescent="0.25">
      <c r="A210" s="71"/>
      <c r="B210" s="70"/>
      <c r="C210" s="70"/>
      <c r="D210" s="70"/>
      <c r="E210" s="261"/>
      <c r="H210" s="70"/>
      <c r="I210" s="71"/>
    </row>
    <row r="211" spans="1:9" s="230" customFormat="1" x14ac:dyDescent="0.25">
      <c r="A211" s="71"/>
      <c r="B211" s="70"/>
      <c r="C211" s="70"/>
      <c r="D211" s="70"/>
      <c r="E211" s="261"/>
      <c r="H211" s="70"/>
      <c r="I211" s="71"/>
    </row>
    <row r="212" spans="1:9" s="230" customFormat="1" x14ac:dyDescent="0.25">
      <c r="A212" s="71"/>
      <c r="B212" s="70"/>
      <c r="C212" s="70"/>
      <c r="D212" s="70"/>
      <c r="E212" s="261"/>
      <c r="H212" s="70"/>
      <c r="I212" s="71"/>
    </row>
    <row r="213" spans="1:9" s="230" customFormat="1" x14ac:dyDescent="0.25">
      <c r="A213" s="71"/>
      <c r="B213" s="70"/>
      <c r="C213" s="70"/>
      <c r="D213" s="70"/>
      <c r="E213" s="261"/>
      <c r="H213" s="70"/>
      <c r="I213" s="71"/>
    </row>
    <row r="214" spans="1:9" s="230" customFormat="1" x14ac:dyDescent="0.25">
      <c r="A214" s="71"/>
      <c r="B214" s="70"/>
      <c r="C214" s="70"/>
      <c r="D214" s="70"/>
      <c r="E214" s="261"/>
      <c r="H214" s="70"/>
      <c r="I214" s="71"/>
    </row>
    <row r="215" spans="1:9" s="230" customFormat="1" x14ac:dyDescent="0.25">
      <c r="A215" s="71"/>
      <c r="B215" s="70"/>
      <c r="C215" s="70"/>
      <c r="D215" s="70"/>
      <c r="E215" s="261"/>
      <c r="H215" s="70"/>
      <c r="I215" s="71"/>
    </row>
    <row r="216" spans="1:9" s="230" customFormat="1" x14ac:dyDescent="0.25">
      <c r="A216" s="71"/>
      <c r="B216" s="70"/>
      <c r="C216" s="70"/>
      <c r="D216" s="70"/>
      <c r="E216" s="261"/>
      <c r="H216" s="70"/>
      <c r="I216" s="71"/>
    </row>
    <row r="217" spans="1:9" s="230" customFormat="1" x14ac:dyDescent="0.25">
      <c r="A217" s="71"/>
      <c r="B217" s="70"/>
      <c r="C217" s="70"/>
      <c r="D217" s="70"/>
      <c r="E217" s="261"/>
      <c r="H217" s="70"/>
      <c r="I217" s="71"/>
    </row>
    <row r="218" spans="1:9" s="230" customFormat="1" x14ac:dyDescent="0.25">
      <c r="A218" s="71"/>
      <c r="B218" s="70"/>
      <c r="C218" s="70"/>
      <c r="D218" s="70"/>
      <c r="E218" s="261"/>
      <c r="H218" s="70"/>
      <c r="I218" s="71"/>
    </row>
    <row r="219" spans="1:9" s="230" customFormat="1" x14ac:dyDescent="0.25">
      <c r="A219" s="71"/>
      <c r="B219" s="70"/>
      <c r="C219" s="70"/>
      <c r="D219" s="70"/>
      <c r="E219" s="261"/>
      <c r="H219" s="70"/>
      <c r="I219" s="71"/>
    </row>
    <row r="220" spans="1:9" s="230" customFormat="1" x14ac:dyDescent="0.25">
      <c r="A220" s="71"/>
      <c r="B220" s="70"/>
      <c r="C220" s="70"/>
      <c r="D220" s="70"/>
      <c r="E220" s="261"/>
      <c r="H220" s="70"/>
      <c r="I220" s="71"/>
    </row>
    <row r="221" spans="1:9" s="230" customFormat="1" x14ac:dyDescent="0.25">
      <c r="A221" s="71"/>
      <c r="B221" s="70"/>
      <c r="C221" s="70"/>
      <c r="D221" s="70"/>
      <c r="E221" s="261"/>
      <c r="H221" s="70"/>
      <c r="I221" s="71"/>
    </row>
    <row r="222" spans="1:9" s="230" customFormat="1" x14ac:dyDescent="0.25">
      <c r="A222" s="71"/>
      <c r="B222" s="70"/>
      <c r="C222" s="70"/>
      <c r="D222" s="70"/>
      <c r="E222" s="261"/>
      <c r="H222" s="70"/>
      <c r="I222" s="71"/>
    </row>
    <row r="223" spans="1:9" s="230" customFormat="1" x14ac:dyDescent="0.25">
      <c r="A223" s="71"/>
      <c r="B223" s="70"/>
      <c r="C223" s="70"/>
      <c r="D223" s="70"/>
      <c r="E223" s="261"/>
      <c r="H223" s="70"/>
      <c r="I223" s="71"/>
    </row>
    <row r="224" spans="1:9" s="230" customFormat="1" x14ac:dyDescent="0.25">
      <c r="A224" s="71"/>
      <c r="B224" s="70"/>
      <c r="C224" s="70"/>
      <c r="D224" s="70"/>
      <c r="E224" s="261"/>
      <c r="H224" s="70"/>
      <c r="I224" s="71"/>
    </row>
    <row r="225" spans="1:9" s="230" customFormat="1" x14ac:dyDescent="0.25">
      <c r="A225" s="71"/>
      <c r="B225" s="70"/>
      <c r="C225" s="70"/>
      <c r="D225" s="70"/>
      <c r="E225" s="261"/>
      <c r="H225" s="70"/>
      <c r="I225" s="71"/>
    </row>
    <row r="226" spans="1:9" s="230" customFormat="1" x14ac:dyDescent="0.25">
      <c r="A226" s="71"/>
      <c r="B226" s="70"/>
      <c r="C226" s="70"/>
      <c r="D226" s="70"/>
      <c r="E226" s="261"/>
      <c r="H226" s="70"/>
      <c r="I226" s="71"/>
    </row>
    <row r="227" spans="1:9" s="230" customFormat="1" x14ac:dyDescent="0.25">
      <c r="A227" s="71"/>
      <c r="B227" s="70"/>
      <c r="C227" s="70"/>
      <c r="D227" s="70"/>
      <c r="E227" s="261"/>
      <c r="H227" s="70"/>
      <c r="I227" s="71"/>
    </row>
    <row r="228" spans="1:9" s="230" customFormat="1" x14ac:dyDescent="0.25">
      <c r="A228" s="71"/>
      <c r="B228" s="70"/>
      <c r="C228" s="70"/>
      <c r="D228" s="70"/>
      <c r="E228" s="261"/>
      <c r="H228" s="70"/>
      <c r="I228" s="71"/>
    </row>
    <row r="229" spans="1:9" s="230" customFormat="1" x14ac:dyDescent="0.25">
      <c r="A229" s="71"/>
      <c r="B229" s="70"/>
      <c r="C229" s="70"/>
      <c r="D229" s="70"/>
      <c r="E229" s="261"/>
      <c r="H229" s="70"/>
      <c r="I229" s="71"/>
    </row>
    <row r="230" spans="1:9" s="230" customFormat="1" x14ac:dyDescent="0.25">
      <c r="A230" s="71"/>
      <c r="B230" s="70"/>
      <c r="C230" s="70"/>
      <c r="D230" s="70"/>
      <c r="E230" s="261"/>
      <c r="H230" s="70"/>
      <c r="I230" s="71"/>
    </row>
    <row r="231" spans="1:9" s="230" customFormat="1" x14ac:dyDescent="0.25">
      <c r="A231" s="71"/>
      <c r="B231" s="70"/>
      <c r="C231" s="70"/>
      <c r="D231" s="70"/>
      <c r="E231" s="261"/>
      <c r="H231" s="70"/>
      <c r="I231" s="71"/>
    </row>
    <row r="232" spans="1:9" s="230" customFormat="1" x14ac:dyDescent="0.25">
      <c r="A232" s="71"/>
      <c r="B232" s="70"/>
      <c r="C232" s="70"/>
      <c r="D232" s="70"/>
      <c r="E232" s="261"/>
      <c r="H232" s="70"/>
      <c r="I232" s="71"/>
    </row>
    <row r="233" spans="1:9" s="230" customFormat="1" x14ac:dyDescent="0.25">
      <c r="A233" s="71"/>
      <c r="B233" s="70"/>
      <c r="C233" s="70"/>
      <c r="D233" s="70"/>
      <c r="E233" s="261"/>
      <c r="H233" s="70"/>
      <c r="I233" s="71"/>
    </row>
    <row r="234" spans="1:9" s="230" customFormat="1" x14ac:dyDescent="0.25">
      <c r="A234" s="71"/>
      <c r="B234" s="70"/>
      <c r="C234" s="70"/>
      <c r="D234" s="70"/>
      <c r="E234" s="261"/>
      <c r="H234" s="70"/>
      <c r="I234" s="71"/>
    </row>
    <row r="235" spans="1:9" s="230" customFormat="1" x14ac:dyDescent="0.25">
      <c r="A235" s="71"/>
      <c r="B235" s="70"/>
      <c r="C235" s="70"/>
      <c r="D235" s="70"/>
      <c r="E235" s="261"/>
      <c r="H235" s="70"/>
      <c r="I235" s="71"/>
    </row>
    <row r="236" spans="1:9" s="230" customFormat="1" x14ac:dyDescent="0.25">
      <c r="A236" s="71"/>
      <c r="B236" s="70"/>
      <c r="C236" s="70"/>
      <c r="D236" s="70"/>
      <c r="E236" s="261"/>
      <c r="H236" s="70"/>
      <c r="I236" s="71"/>
    </row>
    <row r="237" spans="1:9" s="230" customFormat="1" x14ac:dyDescent="0.25">
      <c r="A237" s="71"/>
      <c r="B237" s="70"/>
      <c r="C237" s="70"/>
      <c r="D237" s="70"/>
      <c r="E237" s="261"/>
      <c r="H237" s="70"/>
      <c r="I237" s="71"/>
    </row>
    <row r="238" spans="1:9" s="230" customFormat="1" x14ac:dyDescent="0.25">
      <c r="A238" s="71"/>
      <c r="B238" s="70"/>
      <c r="C238" s="70"/>
      <c r="D238" s="70"/>
      <c r="E238" s="261"/>
      <c r="H238" s="70"/>
      <c r="I238" s="71"/>
    </row>
    <row r="239" spans="1:9" s="230" customFormat="1" x14ac:dyDescent="0.25">
      <c r="A239" s="71"/>
      <c r="B239" s="70"/>
      <c r="C239" s="70"/>
      <c r="D239" s="70"/>
      <c r="E239" s="261"/>
      <c r="H239" s="70"/>
      <c r="I239" s="71"/>
    </row>
    <row r="240" spans="1:9" s="230" customFormat="1" x14ac:dyDescent="0.25">
      <c r="A240" s="71"/>
      <c r="B240" s="70"/>
      <c r="C240" s="70"/>
      <c r="D240" s="70"/>
      <c r="E240" s="261"/>
      <c r="H240" s="70"/>
      <c r="I240" s="71"/>
    </row>
    <row r="241" spans="1:9" s="230" customFormat="1" x14ac:dyDescent="0.25">
      <c r="A241" s="71"/>
      <c r="B241" s="70"/>
      <c r="C241" s="70"/>
      <c r="D241" s="70"/>
      <c r="E241" s="261"/>
      <c r="H241" s="70"/>
      <c r="I241" s="71"/>
    </row>
    <row r="242" spans="1:9" s="230" customFormat="1" x14ac:dyDescent="0.25">
      <c r="A242" s="71"/>
      <c r="B242" s="70"/>
      <c r="C242" s="70"/>
      <c r="D242" s="70"/>
      <c r="E242" s="261"/>
      <c r="H242" s="70"/>
      <c r="I242" s="71"/>
    </row>
    <row r="243" spans="1:9" s="230" customFormat="1" x14ac:dyDescent="0.25">
      <c r="A243" s="71"/>
      <c r="B243" s="70"/>
      <c r="C243" s="70"/>
      <c r="D243" s="70"/>
      <c r="E243" s="261"/>
      <c r="H243" s="70"/>
      <c r="I243" s="71"/>
    </row>
    <row r="244" spans="1:9" s="230" customFormat="1" x14ac:dyDescent="0.25">
      <c r="A244" s="71"/>
      <c r="B244" s="70"/>
      <c r="C244" s="70"/>
      <c r="D244" s="70"/>
      <c r="E244" s="261"/>
      <c r="H244" s="70"/>
      <c r="I244" s="71"/>
    </row>
    <row r="245" spans="1:9" s="230" customFormat="1" x14ac:dyDescent="0.25">
      <c r="A245" s="71"/>
      <c r="B245" s="70"/>
      <c r="C245" s="70"/>
      <c r="D245" s="70"/>
      <c r="E245" s="261"/>
      <c r="H245" s="70"/>
      <c r="I245" s="71"/>
    </row>
    <row r="246" spans="1:9" s="230" customFormat="1" x14ac:dyDescent="0.25">
      <c r="A246" s="71"/>
      <c r="B246" s="70"/>
      <c r="C246" s="70"/>
      <c r="D246" s="70"/>
      <c r="E246" s="261"/>
      <c r="H246" s="70"/>
      <c r="I246" s="71"/>
    </row>
    <row r="247" spans="1:9" s="230" customFormat="1" x14ac:dyDescent="0.25">
      <c r="A247" s="71"/>
      <c r="B247" s="70"/>
      <c r="C247" s="70"/>
      <c r="D247" s="70"/>
      <c r="E247" s="261"/>
      <c r="H247" s="70"/>
      <c r="I247" s="71"/>
    </row>
    <row r="248" spans="1:9" s="230" customFormat="1" x14ac:dyDescent="0.25">
      <c r="A248" s="71"/>
      <c r="B248" s="70"/>
      <c r="C248" s="70"/>
      <c r="D248" s="70"/>
      <c r="E248" s="261"/>
      <c r="H248" s="70"/>
      <c r="I248" s="71"/>
    </row>
    <row r="249" spans="1:9" s="230" customFormat="1" x14ac:dyDescent="0.25">
      <c r="A249" s="71"/>
      <c r="B249" s="70"/>
      <c r="C249" s="70"/>
      <c r="D249" s="70"/>
      <c r="E249" s="261"/>
      <c r="H249" s="70"/>
      <c r="I249" s="71"/>
    </row>
    <row r="250" spans="1:9" s="230" customFormat="1" x14ac:dyDescent="0.25">
      <c r="A250" s="71"/>
      <c r="B250" s="70"/>
      <c r="C250" s="70"/>
      <c r="D250" s="70"/>
      <c r="E250" s="261"/>
      <c r="H250" s="70"/>
      <c r="I250" s="71"/>
    </row>
    <row r="251" spans="1:9" s="230" customFormat="1" x14ac:dyDescent="0.25">
      <c r="A251" s="71"/>
      <c r="B251" s="70"/>
      <c r="C251" s="70"/>
      <c r="D251" s="70"/>
      <c r="E251" s="261"/>
      <c r="H251" s="70"/>
      <c r="I251" s="71"/>
    </row>
    <row r="252" spans="1:9" s="230" customFormat="1" x14ac:dyDescent="0.25">
      <c r="A252" s="71"/>
      <c r="B252" s="70"/>
      <c r="C252" s="70"/>
      <c r="D252" s="70"/>
      <c r="E252" s="261"/>
      <c r="H252" s="70"/>
      <c r="I252" s="71"/>
    </row>
    <row r="253" spans="1:9" s="230" customFormat="1" x14ac:dyDescent="0.25">
      <c r="A253" s="71"/>
      <c r="B253" s="70"/>
      <c r="C253" s="70"/>
      <c r="D253" s="70"/>
      <c r="E253" s="261"/>
      <c r="H253" s="70"/>
      <c r="I253" s="71"/>
    </row>
    <row r="254" spans="1:9" s="230" customFormat="1" x14ac:dyDescent="0.25">
      <c r="A254" s="71"/>
      <c r="B254" s="70"/>
      <c r="C254" s="70"/>
      <c r="D254" s="70"/>
      <c r="E254" s="261"/>
      <c r="H254" s="70"/>
      <c r="I254" s="71"/>
    </row>
    <row r="255" spans="1:9" s="230" customFormat="1" x14ac:dyDescent="0.25">
      <c r="A255" s="71"/>
      <c r="B255" s="70"/>
      <c r="C255" s="70"/>
      <c r="D255" s="70"/>
      <c r="E255" s="261"/>
      <c r="H255" s="70"/>
      <c r="I255" s="71"/>
    </row>
    <row r="256" spans="1:9" s="230" customFormat="1" x14ac:dyDescent="0.25">
      <c r="A256" s="71"/>
      <c r="B256" s="70"/>
      <c r="C256" s="70"/>
      <c r="D256" s="70"/>
      <c r="E256" s="261"/>
      <c r="H256" s="70"/>
      <c r="I256" s="71"/>
    </row>
    <row r="257" spans="1:9" s="230" customFormat="1" x14ac:dyDescent="0.25">
      <c r="A257" s="71"/>
      <c r="B257" s="70"/>
      <c r="C257" s="70"/>
      <c r="D257" s="70"/>
      <c r="E257" s="261"/>
      <c r="H257" s="70"/>
      <c r="I257" s="71"/>
    </row>
    <row r="258" spans="1:9" s="230" customFormat="1" x14ac:dyDescent="0.25">
      <c r="A258" s="71"/>
      <c r="B258" s="70"/>
      <c r="C258" s="70"/>
      <c r="D258" s="70"/>
      <c r="E258" s="261"/>
      <c r="H258" s="70"/>
      <c r="I258" s="71"/>
    </row>
    <row r="259" spans="1:9" s="230" customFormat="1" x14ac:dyDescent="0.25">
      <c r="A259" s="71"/>
      <c r="B259" s="70"/>
      <c r="C259" s="70"/>
      <c r="D259" s="70"/>
      <c r="E259" s="261"/>
      <c r="H259" s="70"/>
      <c r="I259" s="71"/>
    </row>
    <row r="260" spans="1:9" s="230" customFormat="1" x14ac:dyDescent="0.25">
      <c r="A260" s="71"/>
      <c r="B260" s="70"/>
      <c r="C260" s="70"/>
      <c r="D260" s="70"/>
      <c r="E260" s="261"/>
      <c r="H260" s="70"/>
      <c r="I260" s="71"/>
    </row>
    <row r="261" spans="1:9" s="230" customFormat="1" x14ac:dyDescent="0.25">
      <c r="A261" s="71"/>
      <c r="B261" s="70"/>
      <c r="C261" s="70"/>
      <c r="D261" s="70"/>
      <c r="E261" s="261"/>
      <c r="H261" s="70"/>
      <c r="I261" s="71"/>
    </row>
    <row r="262" spans="1:9" s="230" customFormat="1" x14ac:dyDescent="0.25">
      <c r="A262" s="71"/>
      <c r="B262" s="70"/>
      <c r="C262" s="70"/>
      <c r="D262" s="70"/>
      <c r="E262" s="261"/>
      <c r="H262" s="70"/>
      <c r="I262" s="71"/>
    </row>
    <row r="263" spans="1:9" s="230" customFormat="1" x14ac:dyDescent="0.25">
      <c r="A263" s="71"/>
      <c r="B263" s="70"/>
      <c r="C263" s="70"/>
      <c r="D263" s="70"/>
      <c r="E263" s="261"/>
      <c r="H263" s="70"/>
      <c r="I263" s="71"/>
    </row>
    <row r="264" spans="1:9" s="230" customFormat="1" x14ac:dyDescent="0.25">
      <c r="A264" s="71"/>
      <c r="B264" s="70"/>
      <c r="C264" s="70"/>
      <c r="D264" s="70"/>
      <c r="E264" s="261"/>
      <c r="H264" s="70"/>
      <c r="I264" s="71"/>
    </row>
    <row r="265" spans="1:9" s="230" customFormat="1" x14ac:dyDescent="0.25">
      <c r="A265" s="71"/>
      <c r="B265" s="70"/>
      <c r="C265" s="70"/>
      <c r="D265" s="70"/>
      <c r="E265" s="261"/>
      <c r="H265" s="70"/>
      <c r="I265" s="71"/>
    </row>
    <row r="266" spans="1:9" s="230" customFormat="1" x14ac:dyDescent="0.25">
      <c r="A266" s="71"/>
      <c r="B266" s="70"/>
      <c r="C266" s="70"/>
      <c r="D266" s="70"/>
      <c r="E266" s="261"/>
      <c r="H266" s="70"/>
      <c r="I266" s="71"/>
    </row>
    <row r="267" spans="1:9" s="230" customFormat="1" x14ac:dyDescent="0.25">
      <c r="A267" s="71"/>
      <c r="B267" s="70"/>
      <c r="C267" s="70"/>
      <c r="D267" s="70"/>
      <c r="E267" s="261"/>
      <c r="H267" s="70"/>
      <c r="I267" s="71"/>
    </row>
    <row r="268" spans="1:9" s="230" customFormat="1" x14ac:dyDescent="0.25">
      <c r="A268" s="71"/>
      <c r="B268" s="70"/>
      <c r="C268" s="70"/>
      <c r="D268" s="70"/>
      <c r="E268" s="261"/>
      <c r="H268" s="70"/>
      <c r="I268" s="71"/>
    </row>
    <row r="269" spans="1:9" s="230" customFormat="1" x14ac:dyDescent="0.25">
      <c r="A269" s="71"/>
      <c r="B269" s="70"/>
      <c r="C269" s="70"/>
      <c r="D269" s="70"/>
      <c r="E269" s="261"/>
      <c r="H269" s="70"/>
      <c r="I269" s="71"/>
    </row>
    <row r="270" spans="1:9" s="230" customFormat="1" x14ac:dyDescent="0.25">
      <c r="A270" s="71"/>
      <c r="B270" s="70"/>
      <c r="C270" s="70"/>
      <c r="D270" s="70"/>
      <c r="E270" s="261"/>
      <c r="H270" s="70"/>
      <c r="I270" s="71"/>
    </row>
    <row r="271" spans="1:9" s="230" customFormat="1" x14ac:dyDescent="0.25">
      <c r="A271" s="71"/>
      <c r="B271" s="70"/>
      <c r="C271" s="70"/>
      <c r="D271" s="70"/>
      <c r="E271" s="261"/>
      <c r="H271" s="70"/>
      <c r="I271" s="71"/>
    </row>
    <row r="272" spans="1:9" s="230" customFormat="1" x14ac:dyDescent="0.25">
      <c r="A272" s="71"/>
      <c r="B272" s="70"/>
      <c r="C272" s="70"/>
      <c r="D272" s="70"/>
      <c r="E272" s="261"/>
      <c r="H272" s="70"/>
      <c r="I272" s="71"/>
    </row>
    <row r="273" spans="1:9" s="230" customFormat="1" x14ac:dyDescent="0.25">
      <c r="A273" s="71"/>
      <c r="B273" s="70"/>
      <c r="C273" s="70"/>
      <c r="D273" s="70"/>
      <c r="E273" s="261"/>
      <c r="H273" s="70"/>
      <c r="I273" s="71"/>
    </row>
    <row r="274" spans="1:9" s="230" customFormat="1" x14ac:dyDescent="0.25">
      <c r="A274" s="71"/>
      <c r="B274" s="70"/>
      <c r="C274" s="70"/>
      <c r="D274" s="70"/>
      <c r="E274" s="261"/>
      <c r="H274" s="70"/>
      <c r="I274" s="71"/>
    </row>
    <row r="275" spans="1:9" s="230" customFormat="1" x14ac:dyDescent="0.25">
      <c r="A275" s="71"/>
      <c r="B275" s="70"/>
      <c r="C275" s="70"/>
      <c r="D275" s="70"/>
      <c r="E275" s="261"/>
      <c r="H275" s="70"/>
      <c r="I275" s="71"/>
    </row>
    <row r="276" spans="1:9" s="230" customFormat="1" x14ac:dyDescent="0.25">
      <c r="A276" s="71"/>
      <c r="B276" s="70"/>
      <c r="C276" s="70"/>
      <c r="D276" s="70"/>
      <c r="E276" s="261"/>
      <c r="H276" s="70"/>
      <c r="I276" s="71"/>
    </row>
    <row r="277" spans="1:9" s="230" customFormat="1" x14ac:dyDescent="0.25">
      <c r="A277" s="71"/>
      <c r="B277" s="70"/>
      <c r="C277" s="70"/>
      <c r="D277" s="70"/>
      <c r="E277" s="261"/>
      <c r="H277" s="70"/>
      <c r="I277" s="71"/>
    </row>
    <row r="278" spans="1:9" s="230" customFormat="1" x14ac:dyDescent="0.25">
      <c r="A278" s="71"/>
      <c r="B278" s="70"/>
      <c r="C278" s="70"/>
      <c r="D278" s="70"/>
      <c r="E278" s="261"/>
      <c r="H278" s="70"/>
      <c r="I278" s="71"/>
    </row>
    <row r="279" spans="1:9" s="230" customFormat="1" x14ac:dyDescent="0.25">
      <c r="A279" s="71"/>
      <c r="B279" s="70"/>
      <c r="C279" s="70"/>
      <c r="D279" s="70"/>
      <c r="E279" s="261"/>
      <c r="H279" s="70"/>
      <c r="I279" s="71"/>
    </row>
    <row r="280" spans="1:9" s="230" customFormat="1" x14ac:dyDescent="0.25">
      <c r="A280" s="71"/>
      <c r="B280" s="70"/>
      <c r="C280" s="70"/>
      <c r="D280" s="70"/>
      <c r="E280" s="261"/>
      <c r="H280" s="70"/>
      <c r="I280" s="71"/>
    </row>
    <row r="281" spans="1:9" s="230" customFormat="1" x14ac:dyDescent="0.25">
      <c r="A281" s="71"/>
      <c r="B281" s="70"/>
      <c r="C281" s="70"/>
      <c r="D281" s="70"/>
      <c r="E281" s="261"/>
      <c r="H281" s="70"/>
      <c r="I281" s="71"/>
    </row>
    <row r="282" spans="1:9" s="230" customFormat="1" x14ac:dyDescent="0.25">
      <c r="A282" s="71"/>
      <c r="B282" s="70"/>
      <c r="C282" s="70"/>
      <c r="D282" s="70"/>
      <c r="E282" s="261"/>
      <c r="H282" s="70"/>
      <c r="I282" s="71"/>
    </row>
    <row r="283" spans="1:9" s="230" customFormat="1" x14ac:dyDescent="0.25">
      <c r="A283" s="71"/>
      <c r="B283" s="70"/>
      <c r="C283" s="70"/>
      <c r="D283" s="70"/>
      <c r="E283" s="261"/>
      <c r="H283" s="70"/>
      <c r="I283" s="71"/>
    </row>
    <row r="284" spans="1:9" s="230" customFormat="1" x14ac:dyDescent="0.25">
      <c r="A284" s="71"/>
      <c r="B284" s="70"/>
      <c r="C284" s="70"/>
      <c r="D284" s="70"/>
      <c r="E284" s="261"/>
      <c r="H284" s="70"/>
      <c r="I284" s="71"/>
    </row>
    <row r="285" spans="1:9" s="230" customFormat="1" x14ac:dyDescent="0.25">
      <c r="A285" s="71"/>
      <c r="B285" s="70"/>
      <c r="C285" s="70"/>
      <c r="D285" s="70"/>
      <c r="E285" s="261"/>
      <c r="H285" s="70"/>
      <c r="I285" s="71"/>
    </row>
    <row r="286" spans="1:9" s="230" customFormat="1" x14ac:dyDescent="0.25">
      <c r="A286" s="71"/>
      <c r="B286" s="70"/>
      <c r="C286" s="70"/>
      <c r="D286" s="70"/>
      <c r="E286" s="261"/>
      <c r="H286" s="70"/>
      <c r="I286" s="71"/>
    </row>
    <row r="287" spans="1:9" s="230" customFormat="1" x14ac:dyDescent="0.25">
      <c r="A287" s="71"/>
      <c r="B287" s="70"/>
      <c r="C287" s="70"/>
      <c r="D287" s="70"/>
      <c r="E287" s="261"/>
      <c r="H287" s="70"/>
      <c r="I287" s="71"/>
    </row>
    <row r="288" spans="1:9" s="230" customFormat="1" x14ac:dyDescent="0.25">
      <c r="A288" s="71"/>
      <c r="B288" s="70"/>
      <c r="C288" s="70"/>
      <c r="D288" s="70"/>
      <c r="E288" s="261"/>
      <c r="H288" s="70"/>
      <c r="I288" s="71"/>
    </row>
    <row r="289" spans="1:9" s="230" customFormat="1" x14ac:dyDescent="0.25">
      <c r="A289" s="71"/>
      <c r="B289" s="70"/>
      <c r="C289" s="70"/>
      <c r="D289" s="70"/>
      <c r="E289" s="261"/>
      <c r="H289" s="70"/>
      <c r="I289" s="71"/>
    </row>
    <row r="290" spans="1:9" s="230" customFormat="1" x14ac:dyDescent="0.25">
      <c r="A290" s="71"/>
      <c r="B290" s="70"/>
      <c r="C290" s="70"/>
      <c r="D290" s="70"/>
      <c r="E290" s="261"/>
      <c r="H290" s="70"/>
      <c r="I290" s="71"/>
    </row>
    <row r="291" spans="1:9" s="230" customFormat="1" x14ac:dyDescent="0.25">
      <c r="A291" s="71"/>
      <c r="B291" s="70"/>
      <c r="C291" s="70"/>
      <c r="D291" s="70"/>
      <c r="E291" s="261"/>
      <c r="H291" s="70"/>
      <c r="I291" s="71"/>
    </row>
    <row r="292" spans="1:9" s="230" customFormat="1" x14ac:dyDescent="0.25">
      <c r="A292" s="71"/>
      <c r="B292" s="70"/>
      <c r="C292" s="70"/>
      <c r="D292" s="70"/>
      <c r="E292" s="261"/>
      <c r="H292" s="70"/>
      <c r="I292" s="71"/>
    </row>
    <row r="293" spans="1:9" s="230" customFormat="1" x14ac:dyDescent="0.25">
      <c r="A293" s="71"/>
      <c r="B293" s="70"/>
      <c r="C293" s="70"/>
      <c r="D293" s="70"/>
      <c r="E293" s="261"/>
      <c r="H293" s="70"/>
      <c r="I293" s="71"/>
    </row>
    <row r="294" spans="1:9" s="230" customFormat="1" x14ac:dyDescent="0.25">
      <c r="A294" s="71"/>
      <c r="B294" s="70"/>
      <c r="C294" s="70"/>
      <c r="D294" s="70"/>
      <c r="E294" s="261"/>
      <c r="H294" s="70"/>
      <c r="I294" s="71"/>
    </row>
    <row r="295" spans="1:9" s="230" customFormat="1" x14ac:dyDescent="0.25">
      <c r="A295" s="71"/>
      <c r="B295" s="70"/>
      <c r="C295" s="70"/>
      <c r="D295" s="70"/>
      <c r="E295" s="261"/>
      <c r="H295" s="70"/>
      <c r="I295" s="71"/>
    </row>
    <row r="296" spans="1:9" s="230" customFormat="1" x14ac:dyDescent="0.25">
      <c r="A296" s="71"/>
      <c r="B296" s="70"/>
      <c r="C296" s="70"/>
      <c r="D296" s="70"/>
      <c r="E296" s="261"/>
      <c r="H296" s="70"/>
      <c r="I296" s="71"/>
    </row>
    <row r="297" spans="1:9" s="230" customFormat="1" x14ac:dyDescent="0.25">
      <c r="A297" s="71"/>
      <c r="B297" s="70"/>
      <c r="C297" s="70"/>
      <c r="D297" s="70"/>
      <c r="E297" s="261"/>
      <c r="H297" s="70"/>
      <c r="I297" s="71"/>
    </row>
    <row r="298" spans="1:9" s="230" customFormat="1" x14ac:dyDescent="0.25">
      <c r="A298" s="71"/>
      <c r="B298" s="70"/>
      <c r="C298" s="70"/>
      <c r="D298" s="70"/>
      <c r="E298" s="261"/>
      <c r="H298" s="70"/>
      <c r="I298" s="71"/>
    </row>
    <row r="299" spans="1:9" s="230" customFormat="1" x14ac:dyDescent="0.25">
      <c r="A299" s="71"/>
      <c r="B299" s="70"/>
      <c r="C299" s="70"/>
      <c r="D299" s="70"/>
      <c r="E299" s="261"/>
      <c r="H299" s="70"/>
      <c r="I299" s="71"/>
    </row>
    <row r="300" spans="1:9" s="230" customFormat="1" x14ac:dyDescent="0.25">
      <c r="A300" s="71"/>
      <c r="B300" s="70"/>
      <c r="C300" s="70"/>
      <c r="D300" s="70"/>
      <c r="E300" s="261"/>
      <c r="H300" s="70"/>
      <c r="I300" s="71"/>
    </row>
    <row r="301" spans="1:9" s="230" customFormat="1" x14ac:dyDescent="0.25">
      <c r="A301" s="71"/>
      <c r="B301" s="70"/>
      <c r="C301" s="70"/>
      <c r="D301" s="70"/>
      <c r="E301" s="261"/>
      <c r="H301" s="70"/>
      <c r="I301" s="71"/>
    </row>
    <row r="302" spans="1:9" s="230" customFormat="1" x14ac:dyDescent="0.25">
      <c r="A302" s="71"/>
      <c r="B302" s="70"/>
      <c r="C302" s="70"/>
      <c r="D302" s="70"/>
      <c r="E302" s="261"/>
      <c r="H302" s="70"/>
      <c r="I302" s="71"/>
    </row>
    <row r="303" spans="1:9" s="230" customFormat="1" x14ac:dyDescent="0.25">
      <c r="A303" s="71"/>
      <c r="B303" s="70"/>
      <c r="C303" s="70"/>
      <c r="D303" s="70"/>
      <c r="E303" s="261"/>
      <c r="H303" s="70"/>
      <c r="I303" s="71"/>
    </row>
    <row r="304" spans="1:9" s="230" customFormat="1" x14ac:dyDescent="0.25">
      <c r="A304" s="71"/>
      <c r="B304" s="70"/>
      <c r="C304" s="70"/>
      <c r="D304" s="70"/>
      <c r="E304" s="261"/>
      <c r="H304" s="70"/>
      <c r="I304" s="71"/>
    </row>
    <row r="305" spans="1:9" s="230" customFormat="1" x14ac:dyDescent="0.25">
      <c r="A305" s="71"/>
      <c r="B305" s="70"/>
      <c r="C305" s="70"/>
      <c r="D305" s="70"/>
      <c r="E305" s="261"/>
      <c r="H305" s="70"/>
      <c r="I305" s="71"/>
    </row>
    <row r="306" spans="1:9" s="230" customFormat="1" x14ac:dyDescent="0.25">
      <c r="A306" s="71"/>
      <c r="B306" s="70"/>
      <c r="C306" s="70"/>
      <c r="D306" s="70"/>
      <c r="E306" s="261"/>
      <c r="H306" s="70"/>
      <c r="I306" s="71"/>
    </row>
    <row r="307" spans="1:9" s="230" customFormat="1" x14ac:dyDescent="0.25">
      <c r="A307" s="71"/>
      <c r="B307" s="70"/>
      <c r="C307" s="70"/>
      <c r="D307" s="70"/>
      <c r="E307" s="261"/>
      <c r="H307" s="70"/>
      <c r="I307" s="71"/>
    </row>
    <row r="308" spans="1:9" s="230" customFormat="1" x14ac:dyDescent="0.25">
      <c r="A308" s="71"/>
      <c r="B308" s="70"/>
      <c r="C308" s="70"/>
      <c r="D308" s="70"/>
      <c r="E308" s="261"/>
      <c r="H308" s="70"/>
      <c r="I308" s="71"/>
    </row>
    <row r="309" spans="1:9" s="230" customFormat="1" x14ac:dyDescent="0.25">
      <c r="A309" s="71"/>
      <c r="B309" s="70"/>
      <c r="C309" s="70"/>
      <c r="D309" s="70"/>
      <c r="E309" s="261"/>
      <c r="H309" s="70"/>
      <c r="I309" s="71"/>
    </row>
    <row r="310" spans="1:9" s="230" customFormat="1" x14ac:dyDescent="0.25">
      <c r="A310" s="71"/>
      <c r="B310" s="70"/>
      <c r="C310" s="70"/>
      <c r="D310" s="70"/>
      <c r="E310" s="261"/>
      <c r="H310" s="70"/>
      <c r="I310" s="71"/>
    </row>
    <row r="311" spans="1:9" s="230" customFormat="1" x14ac:dyDescent="0.25">
      <c r="A311" s="71"/>
      <c r="B311" s="70"/>
      <c r="C311" s="70"/>
      <c r="D311" s="70"/>
      <c r="E311" s="261"/>
      <c r="H311" s="70"/>
      <c r="I311" s="71"/>
    </row>
    <row r="312" spans="1:9" s="230" customFormat="1" x14ac:dyDescent="0.25">
      <c r="A312" s="71"/>
      <c r="B312" s="70"/>
      <c r="C312" s="70"/>
      <c r="D312" s="70"/>
      <c r="E312" s="261"/>
      <c r="H312" s="70"/>
      <c r="I312" s="71"/>
    </row>
    <row r="313" spans="1:9" s="230" customFormat="1" x14ac:dyDescent="0.25">
      <c r="A313" s="71"/>
      <c r="B313" s="70"/>
      <c r="C313" s="70"/>
      <c r="D313" s="70"/>
      <c r="E313" s="261"/>
      <c r="H313" s="70"/>
      <c r="I313" s="71"/>
    </row>
    <row r="314" spans="1:9" s="230" customFormat="1" x14ac:dyDescent="0.25">
      <c r="A314" s="71"/>
      <c r="B314" s="70"/>
      <c r="C314" s="70"/>
      <c r="D314" s="70"/>
      <c r="E314" s="261"/>
      <c r="H314" s="70"/>
      <c r="I314" s="71"/>
    </row>
    <row r="315" spans="1:9" s="230" customFormat="1" x14ac:dyDescent="0.25">
      <c r="A315" s="71"/>
      <c r="B315" s="70"/>
      <c r="C315" s="70"/>
      <c r="D315" s="70"/>
      <c r="E315" s="261"/>
      <c r="H315" s="70"/>
      <c r="I315" s="71"/>
    </row>
    <row r="316" spans="1:9" s="230" customFormat="1" x14ac:dyDescent="0.25">
      <c r="A316" s="71"/>
      <c r="B316" s="70"/>
      <c r="C316" s="70"/>
      <c r="D316" s="70"/>
      <c r="E316" s="261"/>
      <c r="H316" s="70"/>
      <c r="I316" s="71"/>
    </row>
    <row r="317" spans="1:9" s="230" customFormat="1" x14ac:dyDescent="0.25">
      <c r="A317" s="71"/>
      <c r="B317" s="70"/>
      <c r="C317" s="70"/>
      <c r="D317" s="70"/>
      <c r="E317" s="261"/>
      <c r="H317" s="70"/>
      <c r="I317" s="71"/>
    </row>
    <row r="318" spans="1:9" s="230" customFormat="1" x14ac:dyDescent="0.25">
      <c r="A318" s="71"/>
      <c r="B318" s="70"/>
      <c r="C318" s="70"/>
      <c r="D318" s="70"/>
      <c r="E318" s="261"/>
      <c r="H318" s="70"/>
      <c r="I318" s="71"/>
    </row>
    <row r="319" spans="1:9" s="230" customFormat="1" x14ac:dyDescent="0.25">
      <c r="A319" s="71"/>
      <c r="B319" s="70"/>
      <c r="C319" s="70"/>
      <c r="D319" s="70"/>
      <c r="E319" s="261"/>
      <c r="H319" s="70"/>
      <c r="I319" s="71"/>
    </row>
    <row r="320" spans="1:9" s="230" customFormat="1" x14ac:dyDescent="0.25">
      <c r="A320" s="71"/>
      <c r="B320" s="70"/>
      <c r="C320" s="70"/>
      <c r="D320" s="70"/>
      <c r="E320" s="261"/>
      <c r="H320" s="70"/>
      <c r="I320" s="71"/>
    </row>
    <row r="321" spans="1:9" s="230" customFormat="1" x14ac:dyDescent="0.25">
      <c r="A321" s="71"/>
      <c r="B321" s="70"/>
      <c r="C321" s="70"/>
      <c r="D321" s="70"/>
      <c r="E321" s="261"/>
      <c r="H321" s="70"/>
      <c r="I321" s="71"/>
    </row>
    <row r="322" spans="1:9" s="230" customFormat="1" x14ac:dyDescent="0.25">
      <c r="A322" s="71"/>
      <c r="B322" s="70"/>
      <c r="C322" s="70"/>
      <c r="D322" s="70"/>
      <c r="E322" s="261"/>
      <c r="H322" s="70"/>
      <c r="I322" s="71"/>
    </row>
    <row r="323" spans="1:9" s="230" customFormat="1" x14ac:dyDescent="0.25">
      <c r="A323" s="71"/>
      <c r="B323" s="70"/>
      <c r="C323" s="70"/>
      <c r="D323" s="70"/>
      <c r="E323" s="261"/>
      <c r="H323" s="70"/>
      <c r="I323" s="71"/>
    </row>
    <row r="324" spans="1:9" s="230" customFormat="1" x14ac:dyDescent="0.25">
      <c r="A324" s="71"/>
      <c r="B324" s="70"/>
      <c r="C324" s="70"/>
      <c r="D324" s="70"/>
      <c r="E324" s="261"/>
      <c r="H324" s="70"/>
      <c r="I324" s="71"/>
    </row>
    <row r="325" spans="1:9" s="230" customFormat="1" x14ac:dyDescent="0.25">
      <c r="A325" s="71"/>
      <c r="B325" s="70"/>
      <c r="C325" s="70"/>
      <c r="D325" s="70"/>
      <c r="E325" s="261"/>
      <c r="H325" s="70"/>
      <c r="I325" s="71"/>
    </row>
    <row r="326" spans="1:9" s="230" customFormat="1" x14ac:dyDescent="0.25">
      <c r="A326" s="71"/>
      <c r="B326" s="70"/>
      <c r="C326" s="70"/>
      <c r="D326" s="70"/>
      <c r="E326" s="261"/>
      <c r="H326" s="70"/>
      <c r="I326" s="71"/>
    </row>
    <row r="327" spans="1:9" s="230" customFormat="1" x14ac:dyDescent="0.25">
      <c r="A327" s="71"/>
      <c r="B327" s="70"/>
      <c r="C327" s="70"/>
      <c r="D327" s="70"/>
      <c r="E327" s="261"/>
      <c r="H327" s="70"/>
      <c r="I327" s="71"/>
    </row>
  </sheetData>
  <mergeCells count="12">
    <mergeCell ref="H11:H15"/>
    <mergeCell ref="I11:I15"/>
    <mergeCell ref="H89:H95"/>
    <mergeCell ref="I89:I95"/>
    <mergeCell ref="B89:F89"/>
    <mergeCell ref="B155:F155"/>
    <mergeCell ref="B2:F2"/>
    <mergeCell ref="C3:D3"/>
    <mergeCell ref="E3:F3"/>
    <mergeCell ref="C4:D4"/>
    <mergeCell ref="E4:F4"/>
    <mergeCell ref="B11:F11"/>
  </mergeCells>
  <pageMargins left="0.511811024" right="0.511811024" top="0.78740157499999996" bottom="0.78740157499999996" header="0.31496062000000002" footer="0.31496062000000002"/>
  <pageSetup paperSize="9" orientation="portrait" r:id="rId1"/>
  <ignoredErrors>
    <ignoredError sqref="F102 F121 F123 F125"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12">
    <tabColor rgb="FF4B9FD7"/>
  </sheetPr>
  <dimension ref="A1:AT296"/>
  <sheetViews>
    <sheetView showGridLines="0" workbookViewId="0">
      <pane ySplit="2" topLeftCell="A9" activePane="bottomLeft" state="frozen"/>
      <selection activeCell="J1" sqref="J1"/>
      <selection pane="bottomLeft" activeCell="D27" sqref="D27"/>
    </sheetView>
  </sheetViews>
  <sheetFormatPr defaultColWidth="9.140625" defaultRowHeight="15" x14ac:dyDescent="0.25"/>
  <cols>
    <col min="1" max="1" width="5.7109375" style="85" customWidth="1"/>
    <col min="2" max="2" width="35.7109375" style="85" customWidth="1"/>
    <col min="3" max="3" width="24.85546875" style="85" customWidth="1"/>
    <col min="4" max="4" width="15.7109375" style="88" customWidth="1"/>
    <col min="5" max="5" width="16.7109375" style="85" customWidth="1"/>
    <col min="6" max="7" width="20.7109375" style="85" customWidth="1"/>
    <col min="8" max="8" width="9.7109375" style="85" customWidth="1"/>
    <col min="9" max="10" width="8.7109375" style="85" customWidth="1"/>
    <col min="11" max="11" width="35.7109375" style="85" customWidth="1"/>
    <col min="12" max="12" width="20.7109375" style="85" customWidth="1"/>
    <col min="13" max="13" width="15.7109375" style="85" customWidth="1"/>
    <col min="14" max="14" width="16.7109375" style="85" customWidth="1"/>
    <col min="15" max="15" width="20.7109375" style="85" customWidth="1"/>
    <col min="16" max="16" width="8.7109375" style="85" customWidth="1"/>
    <col min="17" max="17" width="9.7109375" style="85" customWidth="1"/>
    <col min="18" max="19" width="8.7109375" style="85" customWidth="1"/>
    <col min="20" max="20" width="35.7109375" style="85" customWidth="1"/>
    <col min="21" max="21" width="20.7109375" style="85" customWidth="1"/>
    <col min="22" max="22" width="15.7109375" style="85" customWidth="1"/>
    <col min="23" max="23" width="16.7109375" style="85" customWidth="1"/>
    <col min="24" max="24" width="20.7109375" style="85" customWidth="1"/>
    <col min="25" max="25" width="8.7109375" style="85" customWidth="1"/>
    <col min="26" max="26" width="9.7109375" style="85" customWidth="1"/>
    <col min="27" max="30" width="8.7109375" style="85" customWidth="1"/>
    <col min="31" max="31" width="35.7109375" style="85" customWidth="1"/>
    <col min="32" max="32" width="20.7109375" style="85" customWidth="1"/>
    <col min="33" max="33" width="15.7109375" style="85" customWidth="1"/>
    <col min="34" max="34" width="16.7109375" style="85" customWidth="1"/>
    <col min="35" max="35" width="20.7109375" style="85" customWidth="1"/>
    <col min="36" max="36" width="8.7109375" style="85" customWidth="1"/>
    <col min="37" max="37" width="9.7109375" style="85" customWidth="1"/>
    <col min="38" max="46" width="9.140625" style="85" customWidth="1"/>
    <col min="47" max="16384" width="9.140625" style="85"/>
  </cols>
  <sheetData>
    <row r="1" spans="1:20" ht="90" customHeight="1" x14ac:dyDescent="0.25">
      <c r="A1" s="108"/>
      <c r="B1" s="120"/>
      <c r="C1" s="120"/>
      <c r="D1" s="120"/>
      <c r="E1" s="120"/>
      <c r="F1" s="120"/>
      <c r="G1" s="120"/>
      <c r="H1" s="120"/>
      <c r="I1" s="120"/>
      <c r="J1" s="120"/>
      <c r="K1" s="120"/>
      <c r="L1" s="120"/>
      <c r="M1" s="120"/>
      <c r="N1" s="120"/>
      <c r="O1" s="120"/>
      <c r="P1" s="120"/>
      <c r="Q1" s="120"/>
      <c r="R1" s="120"/>
      <c r="S1" s="120"/>
      <c r="T1" s="120"/>
    </row>
    <row r="2" spans="1:20" s="52" customFormat="1" ht="25.15" customHeight="1" x14ac:dyDescent="0.25">
      <c r="B2" s="52" t="s">
        <v>954</v>
      </c>
    </row>
    <row r="3" spans="1:20" s="108" customFormat="1" x14ac:dyDescent="0.25">
      <c r="C3" s="103"/>
    </row>
    <row r="4" spans="1:20" ht="15.75" x14ac:dyDescent="0.25">
      <c r="B4" s="181" t="s">
        <v>238</v>
      </c>
      <c r="C4" s="726" t="s">
        <v>538</v>
      </c>
      <c r="D4" s="727"/>
      <c r="E4" s="727"/>
      <c r="F4" s="727"/>
      <c r="G4" s="727"/>
      <c r="H4" s="728"/>
      <c r="I4" s="108"/>
      <c r="J4" s="108"/>
      <c r="R4" s="108"/>
      <c r="S4" s="108"/>
    </row>
    <row r="5" spans="1:20" ht="6" customHeight="1" x14ac:dyDescent="0.25">
      <c r="B5" s="182"/>
      <c r="C5" s="114"/>
      <c r="D5" s="114"/>
      <c r="E5" s="114"/>
      <c r="F5" s="114"/>
      <c r="G5" s="114"/>
      <c r="H5" s="114"/>
      <c r="I5" s="108"/>
      <c r="J5" s="108"/>
      <c r="R5" s="108"/>
      <c r="S5" s="108"/>
    </row>
    <row r="6" spans="1:20" ht="15.75" x14ac:dyDescent="0.25">
      <c r="B6" s="181" t="s">
        <v>342</v>
      </c>
      <c r="C6" s="726" t="s">
        <v>343</v>
      </c>
      <c r="D6" s="727"/>
      <c r="E6" s="727"/>
      <c r="F6" s="727"/>
      <c r="G6" s="727"/>
      <c r="H6" s="728"/>
      <c r="I6" s="108"/>
      <c r="J6" s="108"/>
      <c r="R6" s="108"/>
      <c r="S6" s="108"/>
    </row>
    <row r="7" spans="1:20" ht="6" customHeight="1" x14ac:dyDescent="0.25">
      <c r="B7" s="181"/>
      <c r="C7" s="114"/>
      <c r="D7" s="114"/>
      <c r="E7" s="114"/>
      <c r="F7" s="114"/>
      <c r="G7" s="114"/>
      <c r="H7" s="114"/>
      <c r="I7" s="108"/>
      <c r="J7" s="108"/>
      <c r="R7" s="108"/>
      <c r="S7" s="108"/>
    </row>
    <row r="8" spans="1:20" ht="15.75" x14ac:dyDescent="0.25">
      <c r="B8" s="181" t="s">
        <v>239</v>
      </c>
      <c r="C8" s="726"/>
      <c r="D8" s="727"/>
      <c r="E8" s="727"/>
      <c r="F8" s="727"/>
      <c r="G8" s="727"/>
      <c r="H8" s="728"/>
      <c r="I8" s="108"/>
      <c r="J8" s="108"/>
      <c r="R8" s="108"/>
      <c r="S8" s="108"/>
    </row>
    <row r="9" spans="1:20" ht="6" customHeight="1" x14ac:dyDescent="0.25">
      <c r="B9" s="182"/>
      <c r="C9" s="114"/>
      <c r="D9" s="114"/>
      <c r="E9" s="115"/>
      <c r="F9" s="115"/>
      <c r="G9" s="115"/>
      <c r="H9" s="115"/>
      <c r="I9" s="108"/>
      <c r="J9" s="108"/>
      <c r="R9" s="108"/>
      <c r="S9" s="108"/>
    </row>
    <row r="10" spans="1:20" ht="15.75" x14ac:dyDescent="0.25">
      <c r="B10" s="181" t="s">
        <v>240</v>
      </c>
      <c r="C10" s="726" t="s">
        <v>344</v>
      </c>
      <c r="D10" s="728"/>
      <c r="E10" s="116"/>
      <c r="F10" s="108"/>
      <c r="G10" s="108"/>
      <c r="H10" s="108"/>
      <c r="I10" s="108"/>
      <c r="J10" s="108"/>
      <c r="R10" s="108"/>
      <c r="S10" s="108"/>
    </row>
    <row r="11" spans="1:20" s="108" customFormat="1" ht="15.75" x14ac:dyDescent="0.25">
      <c r="C11" s="112"/>
      <c r="L11" s="113"/>
    </row>
    <row r="12" spans="1:20" ht="6" customHeight="1" x14ac:dyDescent="0.25">
      <c r="B12" s="151"/>
      <c r="C12" s="99"/>
      <c r="D12" s="99"/>
      <c r="E12" s="99"/>
      <c r="F12" s="99"/>
      <c r="G12" s="84"/>
      <c r="H12" s="84"/>
      <c r="I12" s="108"/>
      <c r="Q12" s="108"/>
      <c r="R12" s="108"/>
    </row>
    <row r="13" spans="1:20" ht="17.25" x14ac:dyDescent="0.25">
      <c r="B13" s="43"/>
      <c r="C13" s="729" t="s">
        <v>125</v>
      </c>
      <c r="D13" s="729"/>
      <c r="E13" s="84"/>
      <c r="F13" s="84"/>
      <c r="G13" s="84"/>
      <c r="H13" s="84"/>
      <c r="I13" s="150"/>
      <c r="Q13" s="108"/>
      <c r="R13" s="150"/>
    </row>
    <row r="14" spans="1:20" ht="6" customHeight="1" x14ac:dyDescent="0.25">
      <c r="B14" s="43"/>
      <c r="C14" s="82"/>
      <c r="D14" s="82"/>
      <c r="E14" s="84"/>
      <c r="F14" s="33"/>
      <c r="G14" s="84"/>
      <c r="H14" s="84"/>
      <c r="I14" s="150"/>
      <c r="Q14" s="108"/>
      <c r="R14" s="150"/>
    </row>
    <row r="15" spans="1:20" ht="31.5" x14ac:dyDescent="0.25">
      <c r="B15" s="534" t="s">
        <v>829</v>
      </c>
      <c r="C15" s="155">
        <f>SUM(C17:C20)</f>
        <v>0.43899999999999995</v>
      </c>
      <c r="D15" s="736" t="s">
        <v>828</v>
      </c>
      <c r="E15" s="736"/>
      <c r="F15" s="736"/>
      <c r="G15" s="155">
        <f>G18-C15</f>
        <v>86.961000000000013</v>
      </c>
      <c r="H15" s="84"/>
      <c r="I15" s="150"/>
      <c r="Q15" s="108"/>
      <c r="R15" s="150"/>
    </row>
    <row r="16" spans="1:20" ht="6" customHeight="1" x14ac:dyDescent="0.25">
      <c r="B16" s="152"/>
      <c r="C16" s="82"/>
      <c r="D16" s="83"/>
      <c r="E16" s="84"/>
      <c r="F16" s="40"/>
      <c r="G16" s="84"/>
      <c r="H16" s="84"/>
      <c r="I16" s="108"/>
      <c r="Q16" s="108"/>
      <c r="R16" s="108"/>
    </row>
    <row r="17" spans="2:38" ht="14.25" customHeight="1" x14ac:dyDescent="0.25">
      <c r="B17" s="385"/>
      <c r="C17" s="142"/>
      <c r="D17" s="83"/>
      <c r="E17" s="84"/>
      <c r="F17" s="153"/>
      <c r="G17" s="153" t="s">
        <v>865</v>
      </c>
      <c r="H17" s="84"/>
      <c r="I17" s="108"/>
      <c r="Q17" s="108"/>
      <c r="R17" s="108"/>
    </row>
    <row r="18" spans="2:38" ht="17.25" x14ac:dyDescent="0.25">
      <c r="B18" s="385" t="s">
        <v>160</v>
      </c>
      <c r="C18" s="142">
        <f>IFERROR(IF(C13="Etanol Anidro",_E2G!C5,IF(C13="Etanol Hidratado",_E2G!E5,"")),0)</f>
        <v>0</v>
      </c>
      <c r="D18" s="83"/>
      <c r="E18" s="84"/>
      <c r="F18" s="153"/>
      <c r="G18" s="580">
        <f>'Dados auxiliares'!F166</f>
        <v>87.4</v>
      </c>
      <c r="H18" s="84"/>
      <c r="I18" s="108"/>
      <c r="Q18" s="108"/>
      <c r="R18" s="108"/>
    </row>
    <row r="19" spans="2:38" ht="15.75" x14ac:dyDescent="0.25">
      <c r="B19" s="385" t="s">
        <v>161</v>
      </c>
      <c r="C19" s="142">
        <f>IFERROR(IF(C13="Etanol Anidro",_E2G!C6,IF(C13="Etanol Hidratado",_E2G!E6,"")),0)</f>
        <v>0</v>
      </c>
      <c r="D19" s="83"/>
      <c r="E19" s="84"/>
      <c r="F19" s="153"/>
      <c r="G19" s="153" t="s">
        <v>539</v>
      </c>
      <c r="H19" s="84"/>
      <c r="I19" s="108"/>
      <c r="Q19" s="108"/>
      <c r="R19" s="108"/>
    </row>
    <row r="20" spans="2:38" ht="17.25" x14ac:dyDescent="0.25">
      <c r="B20" s="385" t="s">
        <v>189</v>
      </c>
      <c r="C20" s="142">
        <f>IFERROR(IF(C13="Etanol Anidro",_E2G!C7,IF(C13="Etanol Hidratado",_E2G!E7,"")),0)</f>
        <v>0.43899999999999995</v>
      </c>
      <c r="D20" s="122"/>
      <c r="E20" s="123"/>
      <c r="F20" s="153"/>
      <c r="G20" s="154">
        <f>(G18-C15)/G18</f>
        <v>0.9949771167048056</v>
      </c>
      <c r="H20" s="123"/>
      <c r="I20" s="108"/>
      <c r="Q20" s="108"/>
      <c r="R20" s="108"/>
    </row>
    <row r="21" spans="2:38" ht="6" customHeight="1" x14ac:dyDescent="0.25">
      <c r="B21" s="385"/>
      <c r="C21" s="121"/>
      <c r="D21" s="122"/>
      <c r="E21" s="123"/>
      <c r="F21" s="123"/>
      <c r="G21" s="123"/>
      <c r="H21" s="123"/>
      <c r="I21" s="108"/>
      <c r="R21" s="108"/>
    </row>
    <row r="22" spans="2:38" x14ac:dyDescent="0.25">
      <c r="C22" s="88"/>
      <c r="D22" s="85"/>
      <c r="I22" s="649"/>
    </row>
    <row r="23" spans="2:38" x14ac:dyDescent="0.25">
      <c r="B23" s="124"/>
      <c r="C23" s="124"/>
      <c r="D23" s="125"/>
      <c r="E23" s="124"/>
      <c r="F23" s="124"/>
      <c r="K23" s="124"/>
      <c r="L23" s="124"/>
      <c r="M23" s="125"/>
      <c r="N23" s="124"/>
      <c r="O23" s="124"/>
      <c r="T23" s="126"/>
      <c r="U23" s="126"/>
      <c r="V23" s="105"/>
      <c r="W23" s="126"/>
      <c r="X23" s="126"/>
      <c r="Y23" s="108"/>
      <c r="AE23" s="108"/>
      <c r="AF23" s="108"/>
      <c r="AG23" s="108"/>
      <c r="AH23" s="108"/>
      <c r="AI23" s="108"/>
      <c r="AJ23" s="108"/>
      <c r="AK23" s="108"/>
      <c r="AL23" s="108"/>
    </row>
    <row r="24" spans="2:38" ht="18.75" x14ac:dyDescent="0.25">
      <c r="B24" s="732" t="s">
        <v>191</v>
      </c>
      <c r="C24" s="732"/>
      <c r="D24" s="732"/>
      <c r="E24" s="732"/>
      <c r="F24" s="732"/>
      <c r="G24" s="732"/>
      <c r="H24" s="732"/>
      <c r="K24" s="107"/>
      <c r="L24" s="127"/>
      <c r="M24" s="125"/>
      <c r="N24" s="124"/>
      <c r="O24" s="124"/>
      <c r="T24" s="128"/>
      <c r="U24" s="129"/>
      <c r="V24" s="105"/>
      <c r="W24" s="126"/>
      <c r="X24" s="126"/>
      <c r="Y24" s="108"/>
      <c r="AE24" s="108"/>
      <c r="AF24" s="108"/>
      <c r="AG24" s="108"/>
      <c r="AH24" s="108"/>
      <c r="AI24" s="108"/>
      <c r="AJ24" s="108"/>
      <c r="AK24" s="108"/>
      <c r="AL24" s="108"/>
    </row>
    <row r="25" spans="2:38" ht="18.75" x14ac:dyDescent="0.25">
      <c r="B25" s="731" t="s">
        <v>383</v>
      </c>
      <c r="C25" s="731"/>
      <c r="D25" s="731"/>
      <c r="E25" s="731"/>
      <c r="F25" s="731"/>
      <c r="G25" s="731"/>
      <c r="H25" s="731"/>
      <c r="K25" s="107"/>
      <c r="L25" s="127"/>
      <c r="M25" s="125"/>
      <c r="N25" s="124"/>
      <c r="O25" s="124"/>
      <c r="T25" s="128"/>
      <c r="U25" s="129"/>
      <c r="V25" s="105"/>
      <c r="W25" s="126"/>
      <c r="X25" s="126"/>
      <c r="Y25" s="108"/>
      <c r="AE25" s="108"/>
      <c r="AF25" s="108"/>
      <c r="AG25" s="108"/>
      <c r="AH25" s="108"/>
      <c r="AI25" s="108"/>
      <c r="AJ25" s="108"/>
      <c r="AK25" s="108"/>
      <c r="AL25" s="108"/>
    </row>
    <row r="26" spans="2:38" ht="15.75" x14ac:dyDescent="0.25">
      <c r="B26" s="25"/>
      <c r="C26" s="91" t="s">
        <v>745</v>
      </c>
      <c r="D26" s="644">
        <v>1</v>
      </c>
      <c r="E26" s="94" t="s">
        <v>599</v>
      </c>
      <c r="F26" s="91" t="s">
        <v>134</v>
      </c>
      <c r="G26" s="670">
        <v>0.5</v>
      </c>
      <c r="H26" s="73"/>
      <c r="I26" s="111"/>
      <c r="K26" s="102"/>
      <c r="M26" s="45"/>
      <c r="N26" s="130"/>
      <c r="O26" s="126"/>
      <c r="P26" s="126"/>
      <c r="Q26" s="108"/>
      <c r="R26" s="111"/>
      <c r="T26" s="130"/>
      <c r="U26" s="108"/>
      <c r="V26" s="413"/>
      <c r="W26" s="130"/>
      <c r="X26" s="126"/>
      <c r="Y26" s="126"/>
      <c r="AE26" s="108"/>
      <c r="AF26" s="108"/>
      <c r="AG26" s="108"/>
      <c r="AH26" s="108"/>
      <c r="AI26" s="108"/>
      <c r="AJ26" s="108"/>
      <c r="AK26" s="108"/>
      <c r="AL26" s="108"/>
    </row>
    <row r="27" spans="2:38" ht="15.75" x14ac:dyDescent="0.25">
      <c r="B27" s="25"/>
      <c r="C27" s="91" t="s">
        <v>746</v>
      </c>
      <c r="D27" s="644">
        <v>1</v>
      </c>
      <c r="E27" s="94" t="s">
        <v>258</v>
      </c>
      <c r="F27" s="27"/>
      <c r="G27" s="27"/>
      <c r="H27" s="73"/>
      <c r="I27" s="111"/>
      <c r="K27" s="102"/>
      <c r="M27" s="45"/>
      <c r="N27" s="130"/>
      <c r="O27" s="126"/>
      <c r="P27" s="126"/>
      <c r="Q27" s="108"/>
      <c r="R27" s="111"/>
      <c r="T27" s="130"/>
      <c r="U27" s="108"/>
      <c r="V27" s="413"/>
      <c r="W27" s="130"/>
      <c r="X27" s="126"/>
      <c r="Y27" s="126"/>
      <c r="AE27" s="108"/>
      <c r="AF27" s="108"/>
      <c r="AG27" s="108"/>
      <c r="AH27" s="108"/>
      <c r="AI27" s="108"/>
      <c r="AJ27" s="108"/>
      <c r="AK27" s="108"/>
      <c r="AL27" s="108"/>
    </row>
    <row r="28" spans="2:38" ht="15.75" x14ac:dyDescent="0.25">
      <c r="B28" s="25"/>
      <c r="C28" s="91" t="s">
        <v>742</v>
      </c>
      <c r="D28" s="644">
        <v>1</v>
      </c>
      <c r="E28" s="94" t="s">
        <v>354</v>
      </c>
      <c r="F28" s="27"/>
      <c r="G28" s="27"/>
      <c r="H28" s="73"/>
      <c r="I28" s="111"/>
      <c r="K28" s="102"/>
      <c r="M28" s="45"/>
      <c r="N28" s="130"/>
      <c r="O28" s="126"/>
      <c r="P28" s="126"/>
      <c r="Q28" s="108"/>
      <c r="R28" s="111"/>
      <c r="T28" s="130"/>
      <c r="U28" s="108"/>
      <c r="V28" s="413"/>
      <c r="W28" s="130"/>
      <c r="X28" s="126"/>
      <c r="Y28" s="126"/>
      <c r="AE28" s="108"/>
      <c r="AF28" s="108"/>
      <c r="AG28" s="108"/>
      <c r="AH28" s="108"/>
      <c r="AI28" s="108"/>
      <c r="AJ28" s="108"/>
      <c r="AK28" s="108"/>
      <c r="AL28" s="108"/>
    </row>
    <row r="29" spans="2:38" ht="15.75" x14ac:dyDescent="0.25">
      <c r="B29" s="25"/>
      <c r="C29" s="91" t="s">
        <v>257</v>
      </c>
      <c r="D29" s="644">
        <v>1</v>
      </c>
      <c r="E29" s="94" t="s">
        <v>258</v>
      </c>
      <c r="F29" s="27"/>
      <c r="G29" s="27"/>
      <c r="H29" s="73"/>
      <c r="I29" s="111"/>
      <c r="K29" s="102"/>
      <c r="M29" s="45"/>
      <c r="N29" s="130"/>
      <c r="O29" s="126"/>
      <c r="P29" s="126"/>
      <c r="Q29" s="108"/>
      <c r="R29" s="111"/>
      <c r="T29" s="130"/>
      <c r="U29" s="108"/>
      <c r="V29" s="413"/>
      <c r="W29" s="130"/>
      <c r="X29" s="126"/>
      <c r="Y29" s="126"/>
      <c r="AE29" s="108"/>
      <c r="AF29" s="108"/>
      <c r="AG29" s="108"/>
      <c r="AH29" s="108"/>
      <c r="AI29" s="108"/>
      <c r="AJ29" s="108"/>
      <c r="AK29" s="108"/>
      <c r="AL29" s="108"/>
    </row>
    <row r="30" spans="2:38" ht="6" customHeight="1" x14ac:dyDescent="0.25">
      <c r="D30" s="85"/>
      <c r="I30" s="111"/>
      <c r="K30" s="102"/>
      <c r="M30" s="45"/>
      <c r="N30" s="130"/>
      <c r="O30" s="126"/>
      <c r="P30" s="126"/>
      <c r="Q30" s="108"/>
      <c r="R30" s="111"/>
      <c r="T30" s="130"/>
      <c r="U30" s="108"/>
      <c r="V30" s="413"/>
      <c r="W30" s="130"/>
      <c r="X30" s="126"/>
      <c r="Y30" s="126"/>
      <c r="AE30" s="108"/>
      <c r="AF30" s="108"/>
      <c r="AG30" s="108"/>
      <c r="AH30" s="108"/>
      <c r="AI30" s="108"/>
      <c r="AJ30" s="108"/>
      <c r="AK30" s="108"/>
      <c r="AL30" s="108"/>
    </row>
    <row r="31" spans="2:38" ht="15.75" x14ac:dyDescent="0.25">
      <c r="B31" s="654"/>
      <c r="C31" s="655" t="s">
        <v>963</v>
      </c>
      <c r="D31" s="644"/>
      <c r="E31" s="656" t="s">
        <v>726</v>
      </c>
      <c r="F31" s="39" t="s">
        <v>962</v>
      </c>
      <c r="G31" s="27"/>
      <c r="H31" s="73"/>
      <c r="I31" s="111"/>
      <c r="K31" s="102"/>
      <c r="M31" s="45"/>
      <c r="N31" s="130"/>
      <c r="O31" s="126"/>
      <c r="P31" s="126"/>
      <c r="Q31" s="108"/>
      <c r="R31" s="111"/>
      <c r="T31" s="130"/>
      <c r="U31" s="108"/>
      <c r="V31" s="413"/>
      <c r="W31" s="130"/>
      <c r="X31" s="126"/>
      <c r="Y31" s="126"/>
      <c r="AE31" s="108"/>
      <c r="AF31" s="108"/>
      <c r="AG31" s="108"/>
      <c r="AH31" s="108"/>
      <c r="AI31" s="108"/>
      <c r="AJ31" s="108"/>
      <c r="AK31" s="108"/>
      <c r="AL31" s="108"/>
    </row>
    <row r="32" spans="2:38" ht="6" customHeight="1" x14ac:dyDescent="0.25">
      <c r="D32" s="85"/>
      <c r="I32" s="111"/>
      <c r="K32" s="102"/>
      <c r="M32" s="45"/>
      <c r="N32" s="130"/>
      <c r="O32" s="126"/>
      <c r="P32" s="126"/>
      <c r="Q32" s="108"/>
      <c r="R32" s="111"/>
      <c r="T32" s="130"/>
      <c r="U32" s="108"/>
      <c r="V32" s="413"/>
      <c r="W32" s="130"/>
      <c r="X32" s="126"/>
      <c r="Y32" s="126"/>
      <c r="AE32" s="108"/>
      <c r="AF32" s="108"/>
      <c r="AG32" s="108"/>
      <c r="AH32" s="108"/>
      <c r="AI32" s="108"/>
      <c r="AJ32" s="108"/>
      <c r="AK32" s="108"/>
      <c r="AL32" s="108"/>
    </row>
    <row r="33" spans="2:38" ht="15.75" x14ac:dyDescent="0.25">
      <c r="B33" s="25"/>
      <c r="C33" s="91" t="s">
        <v>385</v>
      </c>
      <c r="D33" s="644"/>
      <c r="E33" s="94" t="s">
        <v>727</v>
      </c>
      <c r="F33" s="27"/>
      <c r="G33" s="27"/>
      <c r="H33" s="73"/>
      <c r="I33" s="111"/>
      <c r="K33" s="102"/>
      <c r="M33" s="45"/>
      <c r="N33" s="130"/>
      <c r="O33" s="126"/>
      <c r="P33" s="126"/>
      <c r="Q33" s="108"/>
      <c r="T33" s="130"/>
      <c r="U33" s="108"/>
      <c r="V33" s="413"/>
      <c r="W33" s="130"/>
      <c r="X33" s="126"/>
      <c r="Y33" s="126"/>
      <c r="AE33" s="108"/>
      <c r="AF33" s="108"/>
      <c r="AG33" s="108"/>
      <c r="AH33" s="108"/>
      <c r="AI33" s="108"/>
      <c r="AJ33" s="108"/>
      <c r="AK33" s="108"/>
      <c r="AL33" s="108"/>
    </row>
    <row r="34" spans="2:38" ht="15.75" x14ac:dyDescent="0.25">
      <c r="B34" s="25"/>
      <c r="C34" s="91" t="s">
        <v>384</v>
      </c>
      <c r="D34" s="644"/>
      <c r="E34" s="94" t="s">
        <v>727</v>
      </c>
      <c r="F34" s="27"/>
      <c r="G34" s="27"/>
      <c r="H34" s="73"/>
      <c r="I34" s="111"/>
      <c r="K34" s="102"/>
      <c r="M34" s="45"/>
      <c r="N34" s="130"/>
      <c r="O34" s="126"/>
      <c r="P34" s="126"/>
      <c r="Q34" s="108"/>
      <c r="T34" s="130"/>
      <c r="U34" s="108"/>
      <c r="V34" s="413"/>
      <c r="W34" s="130"/>
      <c r="X34" s="126"/>
      <c r="Y34" s="126"/>
      <c r="AE34" s="108"/>
      <c r="AF34" s="108"/>
      <c r="AG34" s="108"/>
      <c r="AH34" s="108"/>
      <c r="AI34" s="108"/>
      <c r="AJ34" s="108"/>
      <c r="AK34" s="108"/>
      <c r="AL34" s="108"/>
    </row>
    <row r="35" spans="2:38" ht="15.75" x14ac:dyDescent="0.25">
      <c r="B35" s="25"/>
      <c r="C35" s="91" t="s">
        <v>387</v>
      </c>
      <c r="D35" s="644"/>
      <c r="E35" s="94" t="s">
        <v>728</v>
      </c>
      <c r="F35" s="27"/>
      <c r="G35" s="27"/>
      <c r="H35" s="73"/>
      <c r="I35" s="111"/>
      <c r="K35" s="102"/>
      <c r="M35" s="45"/>
      <c r="N35" s="130"/>
      <c r="O35" s="126"/>
      <c r="P35" s="126"/>
      <c r="Q35" s="108"/>
      <c r="T35" s="130"/>
      <c r="U35" s="108"/>
      <c r="V35" s="413"/>
      <c r="W35" s="130"/>
      <c r="X35" s="126"/>
      <c r="Y35" s="126"/>
      <c r="AE35" s="108"/>
      <c r="AF35" s="108"/>
      <c r="AG35" s="108"/>
      <c r="AH35" s="108"/>
      <c r="AI35" s="108"/>
      <c r="AJ35" s="108"/>
      <c r="AK35" s="108"/>
      <c r="AL35" s="108"/>
    </row>
    <row r="36" spans="2:38" ht="6" customHeight="1" x14ac:dyDescent="0.25">
      <c r="B36" s="25"/>
      <c r="C36" s="73"/>
      <c r="D36" s="73"/>
      <c r="E36" s="29"/>
      <c r="F36" s="26"/>
      <c r="G36" s="26"/>
      <c r="H36" s="73"/>
      <c r="I36" s="111"/>
      <c r="K36" s="102"/>
      <c r="M36" s="45"/>
      <c r="N36" s="130"/>
      <c r="O36" s="105"/>
      <c r="P36" s="132"/>
      <c r="Q36" s="108"/>
      <c r="T36" s="130"/>
      <c r="U36" s="108"/>
      <c r="V36" s="413"/>
      <c r="W36" s="130"/>
      <c r="X36" s="105"/>
      <c r="Y36" s="132"/>
      <c r="AE36" s="108"/>
      <c r="AF36" s="108"/>
      <c r="AG36" s="108"/>
      <c r="AH36" s="108"/>
      <c r="AI36" s="108"/>
      <c r="AJ36" s="108"/>
      <c r="AK36" s="108"/>
      <c r="AL36" s="108"/>
    </row>
    <row r="37" spans="2:38" ht="15.75" x14ac:dyDescent="0.25">
      <c r="B37" s="731" t="s">
        <v>8</v>
      </c>
      <c r="C37" s="731"/>
      <c r="D37" s="731"/>
      <c r="E37" s="731"/>
      <c r="F37" s="731"/>
      <c r="G37" s="731"/>
      <c r="H37" s="731"/>
      <c r="I37" s="111"/>
      <c r="K37" s="102"/>
      <c r="M37" s="45"/>
      <c r="N37" s="130"/>
      <c r="O37" s="105"/>
      <c r="P37" s="132"/>
      <c r="Q37" s="108"/>
      <c r="T37" s="130"/>
      <c r="U37" s="108"/>
      <c r="V37" s="413"/>
      <c r="W37" s="130"/>
      <c r="X37" s="105"/>
      <c r="Y37" s="132"/>
      <c r="AE37" s="108"/>
      <c r="AF37" s="108"/>
      <c r="AG37" s="108"/>
      <c r="AH37" s="108"/>
      <c r="AI37" s="108"/>
      <c r="AJ37" s="108"/>
      <c r="AK37" s="108"/>
      <c r="AL37" s="108"/>
    </row>
    <row r="38" spans="2:38" ht="15.75" x14ac:dyDescent="0.25">
      <c r="B38" s="25"/>
      <c r="C38" s="91" t="s">
        <v>162</v>
      </c>
      <c r="D38" s="644"/>
      <c r="E38" s="94" t="s">
        <v>729</v>
      </c>
      <c r="F38" s="26"/>
      <c r="G38" s="26"/>
      <c r="H38" s="73"/>
      <c r="I38" s="111"/>
      <c r="K38" s="102"/>
      <c r="M38" s="45"/>
      <c r="N38" s="130"/>
      <c r="O38" s="105"/>
      <c r="P38" s="132"/>
      <c r="Q38" s="108"/>
      <c r="T38" s="130"/>
      <c r="U38" s="108"/>
      <c r="V38" s="413"/>
      <c r="W38" s="130"/>
      <c r="X38" s="105"/>
      <c r="Y38" s="132"/>
      <c r="AE38" s="108"/>
      <c r="AF38" s="108"/>
      <c r="AG38" s="108"/>
      <c r="AH38" s="108"/>
      <c r="AI38" s="108"/>
      <c r="AJ38" s="108"/>
      <c r="AK38" s="108"/>
      <c r="AL38" s="108"/>
    </row>
    <row r="39" spans="2:38" ht="15.75" x14ac:dyDescent="0.25">
      <c r="B39" s="25"/>
      <c r="C39" s="91" t="s">
        <v>22</v>
      </c>
      <c r="D39" s="644"/>
      <c r="E39" s="94" t="s">
        <v>729</v>
      </c>
      <c r="F39" s="26"/>
      <c r="G39" s="26"/>
      <c r="H39" s="73"/>
      <c r="I39" s="111"/>
      <c r="K39" s="102"/>
      <c r="M39" s="45"/>
      <c r="N39" s="130"/>
      <c r="O39" s="105"/>
      <c r="P39" s="132"/>
      <c r="Q39" s="108"/>
      <c r="T39" s="130"/>
      <c r="U39" s="108"/>
      <c r="V39" s="413"/>
      <c r="W39" s="130"/>
      <c r="X39" s="105"/>
      <c r="Y39" s="132"/>
      <c r="AE39" s="108"/>
      <c r="AF39" s="108"/>
      <c r="AG39" s="108"/>
      <c r="AH39" s="108"/>
      <c r="AI39" s="108"/>
      <c r="AJ39" s="108"/>
      <c r="AK39" s="108"/>
      <c r="AL39" s="108"/>
    </row>
    <row r="40" spans="2:38" ht="15.75" x14ac:dyDescent="0.25">
      <c r="B40" s="25"/>
      <c r="C40" s="91" t="s">
        <v>176</v>
      </c>
      <c r="D40" s="644"/>
      <c r="E40" s="94" t="s">
        <v>729</v>
      </c>
      <c r="F40" s="26"/>
      <c r="G40" s="26"/>
      <c r="H40" s="73"/>
      <c r="I40" s="111"/>
      <c r="K40" s="102"/>
      <c r="M40" s="45"/>
      <c r="N40" s="130"/>
      <c r="O40" s="105"/>
      <c r="P40" s="132"/>
      <c r="Q40" s="108"/>
      <c r="T40" s="130"/>
      <c r="U40" s="108"/>
      <c r="V40" s="413"/>
      <c r="W40" s="130"/>
      <c r="X40" s="105"/>
      <c r="Y40" s="132"/>
      <c r="AE40" s="108"/>
      <c r="AF40" s="108"/>
      <c r="AG40" s="108"/>
      <c r="AH40" s="108"/>
      <c r="AI40" s="108"/>
      <c r="AJ40" s="108"/>
      <c r="AK40" s="108"/>
      <c r="AL40" s="108"/>
    </row>
    <row r="41" spans="2:38" ht="15.75" x14ac:dyDescent="0.25">
      <c r="B41" s="25"/>
      <c r="C41" s="91" t="s">
        <v>85</v>
      </c>
      <c r="D41" s="644"/>
      <c r="E41" s="94" t="s">
        <v>729</v>
      </c>
      <c r="F41" s="26"/>
      <c r="G41" s="26"/>
      <c r="H41" s="73"/>
      <c r="I41" s="111"/>
      <c r="K41" s="102"/>
      <c r="M41" s="45"/>
      <c r="N41" s="130"/>
      <c r="O41" s="105"/>
      <c r="P41" s="132"/>
      <c r="Q41" s="108"/>
      <c r="T41" s="130"/>
      <c r="U41" s="108"/>
      <c r="V41" s="413"/>
      <c r="W41" s="130"/>
      <c r="X41" s="105"/>
      <c r="Y41" s="132"/>
      <c r="AE41" s="108"/>
      <c r="AF41" s="108"/>
      <c r="AG41" s="108"/>
      <c r="AH41" s="108"/>
      <c r="AI41" s="108"/>
      <c r="AJ41" s="108"/>
      <c r="AK41" s="108"/>
      <c r="AL41" s="108"/>
    </row>
    <row r="42" spans="2:38" ht="6" customHeight="1" x14ac:dyDescent="0.25">
      <c r="B42" s="25"/>
      <c r="C42" s="73"/>
      <c r="D42" s="73"/>
      <c r="E42" s="29"/>
      <c r="F42" s="26"/>
      <c r="G42" s="26"/>
      <c r="H42" s="73"/>
      <c r="I42" s="111"/>
      <c r="K42" s="102"/>
      <c r="M42" s="45"/>
      <c r="N42" s="130"/>
      <c r="O42" s="105"/>
      <c r="P42" s="132"/>
      <c r="Q42" s="108"/>
      <c r="T42" s="130"/>
      <c r="U42" s="108"/>
      <c r="V42" s="413"/>
      <c r="W42" s="130"/>
      <c r="X42" s="105"/>
      <c r="Y42" s="132"/>
      <c r="AE42" s="108"/>
      <c r="AF42" s="108"/>
      <c r="AG42" s="108"/>
      <c r="AH42" s="108"/>
      <c r="AI42" s="108"/>
      <c r="AJ42" s="108"/>
      <c r="AK42" s="108"/>
      <c r="AL42" s="108"/>
    </row>
    <row r="43" spans="2:38" ht="15.75" x14ac:dyDescent="0.25">
      <c r="B43" s="731" t="s">
        <v>243</v>
      </c>
      <c r="C43" s="731"/>
      <c r="D43" s="731"/>
      <c r="E43" s="731"/>
      <c r="F43" s="731"/>
      <c r="G43" s="731"/>
      <c r="H43" s="731"/>
      <c r="I43" s="111"/>
      <c r="K43" s="133"/>
      <c r="M43" s="134"/>
      <c r="N43" s="135"/>
      <c r="O43" s="135"/>
      <c r="P43" s="135"/>
      <c r="Q43" s="108"/>
      <c r="T43" s="136"/>
      <c r="U43" s="108"/>
      <c r="V43" s="134"/>
      <c r="W43" s="135"/>
      <c r="X43" s="135"/>
      <c r="Y43" s="135"/>
      <c r="AE43" s="108"/>
      <c r="AF43" s="108"/>
      <c r="AG43" s="108"/>
      <c r="AH43" s="108"/>
      <c r="AI43" s="108"/>
      <c r="AJ43" s="108"/>
      <c r="AK43" s="108"/>
      <c r="AL43" s="108"/>
    </row>
    <row r="44" spans="2:38" ht="6" customHeight="1" x14ac:dyDescent="0.25">
      <c r="B44" s="156"/>
      <c r="C44" s="125"/>
      <c r="D44" s="132"/>
      <c r="E44" s="75"/>
      <c r="F44" s="125"/>
      <c r="G44" s="132"/>
      <c r="I44" s="111"/>
      <c r="K44" s="137"/>
      <c r="M44" s="45"/>
      <c r="N44" s="138"/>
      <c r="O44" s="105"/>
      <c r="P44" s="132"/>
      <c r="Q44" s="108"/>
      <c r="T44" s="139"/>
      <c r="U44" s="108"/>
      <c r="V44" s="45"/>
      <c r="W44" s="138"/>
      <c r="X44" s="105"/>
      <c r="Y44" s="132"/>
      <c r="AE44" s="108"/>
      <c r="AF44" s="108"/>
      <c r="AG44" s="108"/>
      <c r="AH44" s="108"/>
      <c r="AI44" s="108"/>
      <c r="AJ44" s="108"/>
      <c r="AK44" s="108"/>
      <c r="AL44" s="108"/>
    </row>
    <row r="45" spans="2:38" ht="15.75" x14ac:dyDescent="0.25">
      <c r="B45" s="54"/>
      <c r="C45" s="730" t="s">
        <v>389</v>
      </c>
      <c r="D45" s="730"/>
      <c r="E45" s="730"/>
      <c r="F45" s="26"/>
      <c r="G45" s="43"/>
      <c r="H45" s="73"/>
      <c r="I45" s="111"/>
      <c r="K45" s="137"/>
      <c r="M45" s="45"/>
      <c r="N45" s="138"/>
      <c r="O45" s="105"/>
      <c r="P45" s="132"/>
      <c r="Q45" s="108"/>
      <c r="T45" s="139"/>
      <c r="U45" s="108"/>
      <c r="V45" s="45"/>
      <c r="W45" s="138"/>
      <c r="X45" s="105"/>
      <c r="Y45" s="132"/>
      <c r="AE45" s="108"/>
      <c r="AF45" s="108"/>
      <c r="AG45" s="108"/>
      <c r="AH45" s="108"/>
      <c r="AI45" s="108"/>
      <c r="AJ45" s="108"/>
      <c r="AK45" s="108"/>
      <c r="AL45" s="108"/>
    </row>
    <row r="46" spans="2:38" ht="15.75" x14ac:dyDescent="0.25">
      <c r="B46" s="26"/>
      <c r="C46" s="91" t="s">
        <v>392</v>
      </c>
      <c r="D46" s="644"/>
      <c r="E46" s="94" t="s">
        <v>729</v>
      </c>
      <c r="F46" s="26"/>
      <c r="G46" s="43"/>
      <c r="H46" s="73"/>
      <c r="I46" s="111"/>
      <c r="K46" s="137"/>
      <c r="M46" s="45"/>
      <c r="N46" s="138"/>
      <c r="O46" s="105"/>
      <c r="P46" s="132"/>
      <c r="Q46" s="108"/>
      <c r="T46" s="139"/>
      <c r="U46" s="108"/>
      <c r="V46" s="45"/>
      <c r="W46" s="138"/>
      <c r="X46" s="105"/>
      <c r="Y46" s="132"/>
      <c r="AE46" s="108"/>
      <c r="AF46" s="108"/>
      <c r="AG46" s="108"/>
      <c r="AH46" s="108"/>
      <c r="AI46" s="108"/>
      <c r="AJ46" s="108"/>
      <c r="AK46" s="108"/>
      <c r="AL46" s="108"/>
    </row>
    <row r="47" spans="2:38" ht="15.75" x14ac:dyDescent="0.25">
      <c r="B47" s="73"/>
      <c r="C47" s="91" t="s">
        <v>134</v>
      </c>
      <c r="D47" s="670"/>
      <c r="E47" s="25"/>
      <c r="F47" s="26"/>
      <c r="G47" s="43"/>
      <c r="H47" s="73"/>
      <c r="I47" s="111"/>
      <c r="K47" s="137"/>
      <c r="M47" s="45"/>
      <c r="N47" s="138"/>
      <c r="O47" s="105"/>
      <c r="P47" s="132"/>
      <c r="Q47" s="108"/>
      <c r="T47" s="139"/>
      <c r="U47" s="108"/>
      <c r="V47" s="45"/>
      <c r="W47" s="138"/>
      <c r="X47" s="105"/>
      <c r="Y47" s="132"/>
      <c r="AE47" s="108"/>
      <c r="AF47" s="108"/>
      <c r="AG47" s="108"/>
      <c r="AH47" s="108"/>
      <c r="AI47" s="108"/>
      <c r="AJ47" s="108"/>
      <c r="AK47" s="108"/>
      <c r="AL47" s="108"/>
    </row>
    <row r="48" spans="2:38" ht="15.75" x14ac:dyDescent="0.25">
      <c r="B48" s="26"/>
      <c r="C48" s="91" t="s">
        <v>257</v>
      </c>
      <c r="D48" s="644"/>
      <c r="E48" s="94" t="s">
        <v>190</v>
      </c>
      <c r="F48" s="26"/>
      <c r="G48" s="43"/>
      <c r="H48" s="73"/>
      <c r="I48" s="111"/>
      <c r="K48" s="137"/>
      <c r="M48" s="45"/>
      <c r="N48" s="138"/>
      <c r="O48" s="105"/>
      <c r="P48" s="132"/>
      <c r="Q48" s="108"/>
      <c r="T48" s="139"/>
      <c r="U48" s="108"/>
      <c r="V48" s="45"/>
      <c r="W48" s="138"/>
      <c r="X48" s="105"/>
      <c r="Y48" s="132"/>
      <c r="AE48" s="108"/>
      <c r="AF48" s="108"/>
      <c r="AG48" s="108"/>
      <c r="AH48" s="108"/>
      <c r="AI48" s="108"/>
      <c r="AJ48" s="108"/>
      <c r="AK48" s="108"/>
      <c r="AL48" s="108"/>
    </row>
    <row r="49" spans="2:38" ht="6" customHeight="1" x14ac:dyDescent="0.25">
      <c r="B49" s="156"/>
      <c r="C49" s="157"/>
      <c r="D49" s="53"/>
      <c r="E49" s="138"/>
      <c r="F49" s="125"/>
      <c r="G49" s="105"/>
      <c r="I49" s="111"/>
      <c r="K49" s="137"/>
      <c r="M49" s="45"/>
      <c r="N49" s="138"/>
      <c r="O49" s="105"/>
      <c r="P49" s="132"/>
      <c r="Q49" s="108"/>
      <c r="T49" s="139"/>
      <c r="U49" s="108"/>
      <c r="V49" s="45"/>
      <c r="W49" s="138"/>
      <c r="X49" s="105"/>
      <c r="Y49" s="132"/>
      <c r="AE49" s="108"/>
      <c r="AF49" s="108"/>
      <c r="AG49" s="108"/>
      <c r="AH49" s="108"/>
      <c r="AI49" s="108"/>
      <c r="AJ49" s="108"/>
      <c r="AK49" s="108"/>
      <c r="AL49" s="108"/>
    </row>
    <row r="50" spans="2:38" ht="15.75" x14ac:dyDescent="0.25">
      <c r="B50" s="54"/>
      <c r="C50" s="733" t="s">
        <v>184</v>
      </c>
      <c r="D50" s="733"/>
      <c r="E50" s="733"/>
      <c r="F50" s="26"/>
      <c r="G50" s="43"/>
      <c r="H50" s="73"/>
      <c r="I50" s="111"/>
      <c r="K50" s="137"/>
      <c r="M50" s="45"/>
      <c r="N50" s="138"/>
      <c r="O50" s="105"/>
      <c r="P50" s="132"/>
      <c r="Q50" s="108"/>
      <c r="T50" s="139"/>
      <c r="U50" s="108"/>
      <c r="V50" s="45"/>
      <c r="W50" s="138"/>
      <c r="X50" s="105"/>
      <c r="Y50" s="132"/>
      <c r="AE50" s="108"/>
      <c r="AF50" s="108"/>
      <c r="AG50" s="108"/>
      <c r="AH50" s="108"/>
      <c r="AI50" s="108"/>
      <c r="AJ50" s="108"/>
      <c r="AK50" s="108"/>
      <c r="AL50" s="108"/>
    </row>
    <row r="51" spans="2:38" ht="15.75" x14ac:dyDescent="0.25">
      <c r="B51" s="26"/>
      <c r="C51" s="91" t="s">
        <v>392</v>
      </c>
      <c r="D51" s="644"/>
      <c r="E51" s="94" t="s">
        <v>729</v>
      </c>
      <c r="F51" s="26"/>
      <c r="G51" s="26"/>
      <c r="H51" s="73"/>
      <c r="I51" s="111"/>
      <c r="K51" s="102"/>
      <c r="M51" s="45"/>
      <c r="N51" s="138"/>
      <c r="O51" s="105"/>
      <c r="P51" s="132"/>
      <c r="Q51" s="108"/>
      <c r="T51" s="130"/>
      <c r="U51" s="108"/>
      <c r="V51" s="45"/>
      <c r="W51" s="138"/>
      <c r="X51" s="105"/>
      <c r="Y51" s="132"/>
      <c r="AE51" s="108"/>
      <c r="AF51" s="108"/>
      <c r="AG51" s="108"/>
      <c r="AH51" s="108"/>
      <c r="AI51" s="108"/>
      <c r="AJ51" s="108"/>
      <c r="AK51" s="108"/>
      <c r="AL51" s="108"/>
    </row>
    <row r="52" spans="2:38" ht="15.75" x14ac:dyDescent="0.25">
      <c r="B52" s="73"/>
      <c r="C52" s="91" t="s">
        <v>134</v>
      </c>
      <c r="D52" s="670"/>
      <c r="E52" s="25"/>
      <c r="F52" s="26"/>
      <c r="G52" s="26"/>
      <c r="H52" s="73"/>
      <c r="I52" s="111"/>
      <c r="K52" s="102"/>
      <c r="M52" s="45"/>
      <c r="N52" s="138"/>
      <c r="O52" s="105"/>
      <c r="P52" s="132"/>
      <c r="Q52" s="108"/>
      <c r="T52" s="130"/>
      <c r="U52" s="108"/>
      <c r="V52" s="45"/>
      <c r="W52" s="138"/>
      <c r="X52" s="105"/>
      <c r="Y52" s="132"/>
      <c r="AE52" s="108"/>
      <c r="AF52" s="108"/>
      <c r="AG52" s="108"/>
      <c r="AH52" s="108"/>
      <c r="AI52" s="108"/>
      <c r="AJ52" s="108"/>
      <c r="AK52" s="108"/>
      <c r="AL52" s="108"/>
    </row>
    <row r="53" spans="2:38" ht="15.75" x14ac:dyDescent="0.25">
      <c r="B53" s="26"/>
      <c r="C53" s="91" t="s">
        <v>257</v>
      </c>
      <c r="D53" s="644"/>
      <c r="E53" s="94" t="s">
        <v>190</v>
      </c>
      <c r="F53" s="26"/>
      <c r="G53" s="26"/>
      <c r="H53" s="73"/>
      <c r="I53" s="111"/>
      <c r="M53" s="45"/>
      <c r="N53" s="138"/>
      <c r="O53" s="105"/>
      <c r="P53" s="132"/>
      <c r="Q53" s="108"/>
      <c r="T53" s="130"/>
      <c r="U53" s="108"/>
      <c r="V53" s="45"/>
      <c r="W53" s="138"/>
      <c r="X53" s="105"/>
      <c r="Y53" s="132"/>
      <c r="AE53" s="108"/>
      <c r="AF53" s="108"/>
      <c r="AG53" s="108"/>
      <c r="AH53" s="108"/>
      <c r="AI53" s="108"/>
      <c r="AJ53" s="108"/>
      <c r="AK53" s="108"/>
      <c r="AL53" s="108"/>
    </row>
    <row r="54" spans="2:38" ht="6" customHeight="1" x14ac:dyDescent="0.25">
      <c r="B54" s="75"/>
      <c r="C54" s="157"/>
      <c r="D54" s="53"/>
      <c r="E54" s="75"/>
      <c r="F54" s="125"/>
      <c r="G54" s="132"/>
      <c r="H54" s="108"/>
      <c r="I54" s="111"/>
      <c r="M54" s="45"/>
      <c r="N54" s="138"/>
      <c r="O54" s="105"/>
      <c r="P54" s="132"/>
      <c r="Q54" s="108"/>
      <c r="T54" s="130"/>
      <c r="U54" s="108"/>
      <c r="V54" s="45"/>
      <c r="W54" s="138"/>
      <c r="X54" s="105"/>
      <c r="Y54" s="132"/>
      <c r="AE54" s="108"/>
      <c r="AF54" s="108"/>
      <c r="AG54" s="108"/>
      <c r="AH54" s="108"/>
      <c r="AI54" s="108"/>
      <c r="AJ54" s="108"/>
      <c r="AK54" s="108"/>
      <c r="AL54" s="108"/>
    </row>
    <row r="55" spans="2:38" ht="18.75" customHeight="1" x14ac:dyDescent="0.25">
      <c r="B55" s="54"/>
      <c r="C55" s="730" t="s">
        <v>106</v>
      </c>
      <c r="D55" s="730"/>
      <c r="E55" s="730"/>
      <c r="F55" s="26"/>
      <c r="G55" s="43"/>
      <c r="H55" s="73"/>
      <c r="I55" s="111"/>
      <c r="M55" s="45"/>
      <c r="N55" s="138"/>
      <c r="O55" s="105"/>
      <c r="P55" s="132"/>
      <c r="Q55" s="108"/>
      <c r="T55" s="130"/>
      <c r="U55" s="108"/>
      <c r="V55" s="45"/>
      <c r="W55" s="138"/>
      <c r="X55" s="105"/>
      <c r="Y55" s="132"/>
      <c r="AE55" s="108"/>
      <c r="AF55" s="108"/>
      <c r="AG55" s="108"/>
      <c r="AH55" s="108"/>
      <c r="AI55" s="108"/>
      <c r="AJ55" s="108"/>
      <c r="AK55" s="108"/>
      <c r="AL55" s="108"/>
    </row>
    <row r="56" spans="2:38" ht="15.75" x14ac:dyDescent="0.25">
      <c r="B56" s="26"/>
      <c r="C56" s="91" t="s">
        <v>392</v>
      </c>
      <c r="D56" s="644"/>
      <c r="E56" s="94" t="s">
        <v>729</v>
      </c>
      <c r="F56" s="26"/>
      <c r="G56" s="26"/>
      <c r="H56" s="73"/>
      <c r="I56" s="111"/>
      <c r="M56" s="45"/>
      <c r="N56" s="138"/>
      <c r="O56" s="105"/>
      <c r="P56" s="132"/>
      <c r="Q56" s="108"/>
      <c r="T56" s="130"/>
      <c r="U56" s="108"/>
      <c r="V56" s="45"/>
      <c r="W56" s="138"/>
      <c r="X56" s="105"/>
      <c r="Y56" s="132"/>
      <c r="AE56" s="108"/>
      <c r="AF56" s="108"/>
      <c r="AG56" s="108"/>
      <c r="AH56" s="108"/>
      <c r="AI56" s="108"/>
      <c r="AJ56" s="108"/>
      <c r="AK56" s="108"/>
      <c r="AL56" s="108"/>
    </row>
    <row r="57" spans="2:38" x14ac:dyDescent="0.25">
      <c r="B57" s="73"/>
      <c r="C57" s="91" t="s">
        <v>134</v>
      </c>
      <c r="D57" s="670"/>
      <c r="E57" s="25"/>
      <c r="F57" s="26"/>
      <c r="G57" s="26"/>
      <c r="H57" s="73"/>
      <c r="I57" s="111"/>
      <c r="K57" s="106"/>
      <c r="M57" s="108"/>
      <c r="N57" s="108"/>
      <c r="O57" s="108"/>
      <c r="P57" s="108"/>
      <c r="Q57" s="108"/>
      <c r="AE57" s="108"/>
      <c r="AF57" s="108"/>
      <c r="AG57" s="108"/>
      <c r="AH57" s="108"/>
      <c r="AI57" s="108"/>
      <c r="AJ57" s="108"/>
      <c r="AK57" s="108"/>
      <c r="AL57" s="108"/>
    </row>
    <row r="58" spans="2:38" x14ac:dyDescent="0.25">
      <c r="B58" s="26"/>
      <c r="C58" s="91" t="s">
        <v>257</v>
      </c>
      <c r="D58" s="644"/>
      <c r="E58" s="94" t="s">
        <v>190</v>
      </c>
      <c r="F58" s="26"/>
      <c r="G58" s="26"/>
      <c r="H58" s="73"/>
      <c r="I58" s="111"/>
      <c r="AE58" s="108"/>
      <c r="AF58" s="108"/>
      <c r="AG58" s="108"/>
      <c r="AH58" s="108"/>
      <c r="AI58" s="108"/>
      <c r="AJ58" s="108"/>
      <c r="AK58" s="108"/>
      <c r="AL58" s="108"/>
    </row>
    <row r="59" spans="2:38" ht="6" customHeight="1" x14ac:dyDescent="0.25">
      <c r="B59" s="156"/>
      <c r="C59" s="157"/>
      <c r="D59" s="53"/>
      <c r="E59" s="138"/>
      <c r="F59" s="125"/>
      <c r="G59" s="105"/>
      <c r="I59" s="111"/>
      <c r="K59" s="137"/>
      <c r="M59" s="45"/>
      <c r="N59" s="138"/>
      <c r="O59" s="105"/>
      <c r="P59" s="132"/>
      <c r="Q59" s="108"/>
      <c r="T59" s="139"/>
      <c r="U59" s="108"/>
      <c r="V59" s="45"/>
      <c r="W59" s="138"/>
      <c r="X59" s="105"/>
      <c r="Y59" s="132"/>
      <c r="AE59" s="108"/>
      <c r="AF59" s="108"/>
      <c r="AG59" s="108"/>
      <c r="AH59" s="108"/>
      <c r="AI59" s="108"/>
      <c r="AJ59" s="108"/>
      <c r="AK59" s="108"/>
      <c r="AL59" s="108"/>
    </row>
    <row r="60" spans="2:38" ht="15.75" x14ac:dyDescent="0.25">
      <c r="B60" s="54"/>
      <c r="C60" s="733" t="s">
        <v>347</v>
      </c>
      <c r="D60" s="733"/>
      <c r="E60" s="733"/>
      <c r="F60" s="26"/>
      <c r="G60" s="43"/>
      <c r="H60" s="73"/>
      <c r="I60" s="111"/>
      <c r="K60" s="137"/>
      <c r="M60" s="45"/>
      <c r="N60" s="138"/>
      <c r="O60" s="105"/>
      <c r="P60" s="132"/>
      <c r="Q60" s="108"/>
      <c r="T60" s="139"/>
      <c r="U60" s="108"/>
      <c r="V60" s="45"/>
      <c r="W60" s="138"/>
      <c r="X60" s="105"/>
      <c r="Y60" s="132"/>
      <c r="AE60" s="108"/>
      <c r="AF60" s="108"/>
      <c r="AG60" s="108"/>
      <c r="AH60" s="108"/>
      <c r="AI60" s="108"/>
      <c r="AJ60" s="108"/>
      <c r="AK60" s="108"/>
      <c r="AL60" s="108"/>
    </row>
    <row r="61" spans="2:38" ht="15.75" x14ac:dyDescent="0.25">
      <c r="B61" s="26"/>
      <c r="C61" s="91" t="s">
        <v>392</v>
      </c>
      <c r="D61" s="644"/>
      <c r="E61" s="94" t="s">
        <v>729</v>
      </c>
      <c r="F61" s="26"/>
      <c r="G61" s="26"/>
      <c r="H61" s="73"/>
      <c r="I61" s="111"/>
      <c r="K61" s="102"/>
      <c r="M61" s="45"/>
      <c r="N61" s="138"/>
      <c r="O61" s="105"/>
      <c r="P61" s="132"/>
      <c r="Q61" s="108"/>
      <c r="T61" s="130"/>
      <c r="U61" s="108"/>
      <c r="V61" s="45"/>
      <c r="W61" s="138"/>
      <c r="X61" s="105"/>
      <c r="Y61" s="132"/>
      <c r="AE61" s="108"/>
      <c r="AF61" s="108"/>
      <c r="AG61" s="108"/>
      <c r="AH61" s="108"/>
      <c r="AI61" s="108"/>
      <c r="AJ61" s="108"/>
      <c r="AK61" s="108"/>
      <c r="AL61" s="108"/>
    </row>
    <row r="62" spans="2:38" ht="15.75" x14ac:dyDescent="0.25">
      <c r="B62" s="73"/>
      <c r="C62" s="91" t="s">
        <v>134</v>
      </c>
      <c r="D62" s="670"/>
      <c r="E62" s="25"/>
      <c r="F62" s="26"/>
      <c r="G62" s="26"/>
      <c r="H62" s="73"/>
      <c r="I62" s="111"/>
      <c r="K62" s="102"/>
      <c r="M62" s="45"/>
      <c r="N62" s="138"/>
      <c r="O62" s="105"/>
      <c r="P62" s="132"/>
      <c r="Q62" s="108"/>
      <c r="T62" s="130"/>
      <c r="U62" s="108"/>
      <c r="V62" s="45"/>
      <c r="W62" s="138"/>
      <c r="X62" s="105"/>
      <c r="Y62" s="132"/>
      <c r="AE62" s="108"/>
      <c r="AF62" s="108"/>
      <c r="AG62" s="108"/>
      <c r="AH62" s="108"/>
      <c r="AI62" s="108"/>
      <c r="AJ62" s="108"/>
      <c r="AK62" s="108"/>
      <c r="AL62" s="108"/>
    </row>
    <row r="63" spans="2:38" ht="15.75" x14ac:dyDescent="0.25">
      <c r="B63" s="26"/>
      <c r="C63" s="91" t="s">
        <v>257</v>
      </c>
      <c r="D63" s="644"/>
      <c r="E63" s="94" t="s">
        <v>190</v>
      </c>
      <c r="F63" s="26"/>
      <c r="G63" s="26"/>
      <c r="H63" s="73"/>
      <c r="I63" s="111"/>
      <c r="M63" s="45"/>
      <c r="N63" s="138"/>
      <c r="O63" s="105"/>
      <c r="P63" s="132"/>
      <c r="Q63" s="108"/>
      <c r="T63" s="130"/>
      <c r="U63" s="108"/>
      <c r="V63" s="45"/>
      <c r="W63" s="138"/>
      <c r="X63" s="105"/>
      <c r="Y63" s="132"/>
      <c r="AE63" s="108"/>
      <c r="AF63" s="108"/>
      <c r="AG63" s="108"/>
      <c r="AH63" s="108"/>
      <c r="AI63" s="108"/>
      <c r="AJ63" s="108"/>
      <c r="AK63" s="108"/>
      <c r="AL63" s="108"/>
    </row>
    <row r="64" spans="2:38" ht="6" customHeight="1" x14ac:dyDescent="0.25">
      <c r="B64" s="75"/>
      <c r="C64" s="157"/>
      <c r="D64" s="53"/>
      <c r="E64" s="75"/>
      <c r="F64" s="125"/>
      <c r="G64" s="132"/>
      <c r="H64" s="108"/>
      <c r="I64" s="111"/>
      <c r="M64" s="45"/>
      <c r="N64" s="138"/>
      <c r="O64" s="105"/>
      <c r="P64" s="132"/>
      <c r="Q64" s="108"/>
      <c r="T64" s="130"/>
      <c r="U64" s="108"/>
      <c r="V64" s="45"/>
      <c r="W64" s="138"/>
      <c r="X64" s="105"/>
      <c r="Y64" s="132"/>
      <c r="AE64" s="108"/>
      <c r="AF64" s="108"/>
      <c r="AG64" s="108"/>
      <c r="AH64" s="108"/>
      <c r="AI64" s="108"/>
      <c r="AJ64" s="108"/>
      <c r="AK64" s="108"/>
      <c r="AL64" s="108"/>
    </row>
    <row r="65" spans="2:46" ht="18.75" customHeight="1" x14ac:dyDescent="0.25">
      <c r="B65" s="54"/>
      <c r="C65" s="730" t="s">
        <v>466</v>
      </c>
      <c r="D65" s="730"/>
      <c r="E65" s="730"/>
      <c r="F65" s="26"/>
      <c r="G65" s="43"/>
      <c r="H65" s="73"/>
      <c r="I65" s="111"/>
      <c r="M65" s="45"/>
      <c r="N65" s="138"/>
      <c r="O65" s="105"/>
      <c r="P65" s="132"/>
      <c r="Q65" s="108"/>
      <c r="T65" s="130"/>
      <c r="U65" s="108"/>
      <c r="V65" s="45"/>
      <c r="W65" s="138"/>
      <c r="X65" s="105"/>
      <c r="Y65" s="132"/>
      <c r="AE65" s="108"/>
      <c r="AF65" s="108"/>
      <c r="AG65" s="108"/>
      <c r="AH65" s="108"/>
      <c r="AI65" s="108"/>
      <c r="AJ65" s="108"/>
      <c r="AK65" s="108"/>
      <c r="AL65" s="108"/>
    </row>
    <row r="66" spans="2:46" ht="15.75" x14ac:dyDescent="0.25">
      <c r="B66" s="26"/>
      <c r="C66" s="91" t="s">
        <v>392</v>
      </c>
      <c r="D66" s="644"/>
      <c r="E66" s="94" t="s">
        <v>729</v>
      </c>
      <c r="F66" s="26"/>
      <c r="G66" s="26"/>
      <c r="H66" s="73"/>
      <c r="I66" s="111"/>
      <c r="M66" s="45"/>
      <c r="N66" s="138"/>
      <c r="O66" s="105"/>
      <c r="P66" s="132"/>
      <c r="Q66" s="108"/>
      <c r="T66" s="130"/>
      <c r="U66" s="108"/>
      <c r="V66" s="45"/>
      <c r="W66" s="138"/>
      <c r="X66" s="105"/>
      <c r="Y66" s="132"/>
      <c r="AE66" s="108"/>
      <c r="AF66" s="108"/>
      <c r="AG66" s="108"/>
      <c r="AH66" s="108"/>
      <c r="AI66" s="108"/>
      <c r="AJ66" s="108"/>
      <c r="AK66" s="108"/>
      <c r="AL66" s="108"/>
    </row>
    <row r="67" spans="2:46" x14ac:dyDescent="0.25">
      <c r="B67" s="73"/>
      <c r="C67" s="91" t="s">
        <v>134</v>
      </c>
      <c r="D67" s="670"/>
      <c r="E67" s="25"/>
      <c r="F67" s="26"/>
      <c r="G67" s="26"/>
      <c r="H67" s="73"/>
      <c r="I67" s="111"/>
      <c r="K67" s="106"/>
      <c r="M67" s="108"/>
      <c r="N67" s="108"/>
      <c r="O67" s="108"/>
      <c r="P67" s="108"/>
      <c r="Q67" s="108"/>
      <c r="AE67" s="108"/>
      <c r="AF67" s="108"/>
      <c r="AG67" s="108"/>
      <c r="AH67" s="108"/>
      <c r="AI67" s="108"/>
      <c r="AJ67" s="108"/>
      <c r="AK67" s="108"/>
      <c r="AL67" s="108"/>
    </row>
    <row r="68" spans="2:46" x14ac:dyDescent="0.25">
      <c r="B68" s="26"/>
      <c r="C68" s="91" t="s">
        <v>257</v>
      </c>
      <c r="D68" s="644"/>
      <c r="E68" s="94" t="s">
        <v>190</v>
      </c>
      <c r="F68" s="26"/>
      <c r="G68" s="26"/>
      <c r="H68" s="73"/>
      <c r="I68" s="111"/>
      <c r="AE68" s="108"/>
      <c r="AF68" s="108"/>
      <c r="AG68" s="108"/>
      <c r="AH68" s="108"/>
      <c r="AI68" s="108"/>
      <c r="AJ68" s="108"/>
      <c r="AK68" s="108"/>
      <c r="AL68" s="108"/>
    </row>
    <row r="69" spans="2:46" ht="6" customHeight="1" x14ac:dyDescent="0.25">
      <c r="D69" s="85"/>
      <c r="I69" s="111"/>
      <c r="AE69" s="108"/>
      <c r="AF69" s="108"/>
      <c r="AG69" s="108"/>
      <c r="AH69" s="108"/>
      <c r="AI69" s="108"/>
      <c r="AJ69" s="108"/>
      <c r="AK69" s="108"/>
      <c r="AL69" s="108"/>
      <c r="AN69" s="108"/>
      <c r="AO69" s="108"/>
      <c r="AP69" s="108"/>
      <c r="AQ69" s="108"/>
      <c r="AR69" s="108"/>
      <c r="AS69" s="108"/>
      <c r="AT69" s="108"/>
    </row>
    <row r="70" spans="2:46" x14ac:dyDescent="0.25">
      <c r="B70" s="25"/>
      <c r="C70" s="93" t="s">
        <v>845</v>
      </c>
      <c r="D70" s="644"/>
      <c r="E70" s="94" t="s">
        <v>727</v>
      </c>
      <c r="F70" s="27"/>
      <c r="G70" s="27"/>
      <c r="H70" s="73"/>
      <c r="I70" s="111"/>
      <c r="AE70" s="108"/>
      <c r="AF70" s="108"/>
      <c r="AG70" s="108"/>
      <c r="AH70" s="108"/>
      <c r="AI70" s="108"/>
      <c r="AJ70" s="108"/>
      <c r="AK70" s="108"/>
      <c r="AL70" s="108"/>
    </row>
    <row r="71" spans="2:46" x14ac:dyDescent="0.25">
      <c r="B71" s="25"/>
      <c r="C71" s="93" t="s">
        <v>846</v>
      </c>
      <c r="D71" s="644"/>
      <c r="E71" s="94" t="s">
        <v>727</v>
      </c>
      <c r="F71" s="27"/>
      <c r="G71" s="27"/>
      <c r="H71" s="73"/>
      <c r="I71" s="111"/>
      <c r="AE71" s="108"/>
      <c r="AF71" s="108"/>
      <c r="AG71" s="108"/>
      <c r="AH71" s="108"/>
      <c r="AI71" s="108"/>
      <c r="AJ71" s="108"/>
      <c r="AK71" s="108"/>
      <c r="AL71" s="108"/>
    </row>
    <row r="72" spans="2:46" x14ac:dyDescent="0.25">
      <c r="B72" s="25"/>
      <c r="C72" s="93" t="s">
        <v>847</v>
      </c>
      <c r="D72" s="644"/>
      <c r="E72" s="94" t="s">
        <v>727</v>
      </c>
      <c r="F72" s="27"/>
      <c r="G72" s="27"/>
      <c r="H72" s="73"/>
      <c r="I72" s="111"/>
      <c r="AE72" s="108"/>
      <c r="AF72" s="108"/>
      <c r="AG72" s="108"/>
      <c r="AH72" s="108"/>
      <c r="AI72" s="108"/>
      <c r="AJ72" s="108"/>
      <c r="AK72" s="108"/>
      <c r="AL72" s="108"/>
    </row>
    <row r="73" spans="2:46" x14ac:dyDescent="0.25">
      <c r="B73" s="25"/>
      <c r="C73" s="93" t="s">
        <v>922</v>
      </c>
      <c r="D73" s="644"/>
      <c r="E73" s="94" t="s">
        <v>928</v>
      </c>
      <c r="F73" s="141" t="s">
        <v>924</v>
      </c>
      <c r="G73" s="646"/>
      <c r="H73" s="410" t="s">
        <v>709</v>
      </c>
      <c r="I73" s="111"/>
      <c r="AE73" s="108"/>
      <c r="AF73" s="108"/>
      <c r="AG73" s="108"/>
      <c r="AH73" s="108"/>
      <c r="AI73" s="108"/>
      <c r="AJ73" s="108"/>
      <c r="AK73" s="108"/>
      <c r="AL73" s="108"/>
    </row>
    <row r="74" spans="2:46" x14ac:dyDescent="0.25">
      <c r="B74" s="25"/>
      <c r="C74" s="93" t="s">
        <v>923</v>
      </c>
      <c r="D74" s="644"/>
      <c r="E74" s="94" t="s">
        <v>928</v>
      </c>
      <c r="F74" s="141" t="s">
        <v>924</v>
      </c>
      <c r="G74" s="646"/>
      <c r="H74" s="410" t="s">
        <v>709</v>
      </c>
      <c r="I74" s="111"/>
      <c r="AE74" s="108"/>
      <c r="AF74" s="108"/>
      <c r="AG74" s="108"/>
      <c r="AH74" s="108"/>
      <c r="AI74" s="108"/>
      <c r="AJ74" s="108"/>
      <c r="AK74" s="108"/>
      <c r="AL74" s="108"/>
    </row>
    <row r="75" spans="2:46" x14ac:dyDescent="0.25">
      <c r="B75" s="25"/>
      <c r="C75" s="93" t="s">
        <v>376</v>
      </c>
      <c r="D75" s="644"/>
      <c r="E75" s="94" t="s">
        <v>728</v>
      </c>
      <c r="F75" s="27"/>
      <c r="G75" s="27"/>
      <c r="H75" s="73"/>
      <c r="I75" s="111"/>
      <c r="AE75" s="108"/>
      <c r="AF75" s="108"/>
      <c r="AG75" s="108"/>
      <c r="AH75" s="108"/>
      <c r="AI75" s="108"/>
      <c r="AJ75" s="108"/>
      <c r="AK75" s="108"/>
      <c r="AL75" s="108"/>
    </row>
    <row r="76" spans="2:46" x14ac:dyDescent="0.25">
      <c r="B76" s="25"/>
      <c r="C76" s="93" t="s">
        <v>375</v>
      </c>
      <c r="D76" s="644"/>
      <c r="E76" s="94" t="s">
        <v>728</v>
      </c>
      <c r="F76" s="27"/>
      <c r="G76" s="27"/>
      <c r="H76" s="73"/>
      <c r="I76" s="111"/>
      <c r="AE76" s="108"/>
      <c r="AF76" s="108"/>
      <c r="AG76" s="108"/>
      <c r="AH76" s="108"/>
      <c r="AI76" s="108"/>
      <c r="AJ76" s="108"/>
      <c r="AK76" s="108"/>
      <c r="AL76" s="108"/>
    </row>
    <row r="77" spans="2:46" x14ac:dyDescent="0.25">
      <c r="B77" s="25"/>
      <c r="C77" s="93" t="s">
        <v>372</v>
      </c>
      <c r="D77" s="644"/>
      <c r="E77" s="94" t="s">
        <v>728</v>
      </c>
      <c r="F77" s="27"/>
      <c r="G77" s="39"/>
      <c r="H77" s="73"/>
      <c r="I77" s="111"/>
      <c r="AE77" s="108"/>
      <c r="AF77" s="108"/>
      <c r="AG77" s="108"/>
      <c r="AH77" s="108"/>
      <c r="AI77" s="108"/>
      <c r="AJ77" s="108"/>
      <c r="AK77" s="108"/>
      <c r="AL77" s="108"/>
    </row>
    <row r="78" spans="2:46" x14ac:dyDescent="0.25">
      <c r="B78" s="25"/>
      <c r="C78" s="93" t="s">
        <v>373</v>
      </c>
      <c r="D78" s="644"/>
      <c r="E78" s="94" t="s">
        <v>728</v>
      </c>
      <c r="F78" s="27"/>
      <c r="G78" s="39"/>
      <c r="H78" s="73"/>
      <c r="I78" s="111"/>
      <c r="AE78" s="108"/>
      <c r="AF78" s="108"/>
      <c r="AG78" s="108"/>
      <c r="AH78" s="108"/>
      <c r="AI78" s="108"/>
      <c r="AJ78" s="108"/>
      <c r="AK78" s="108"/>
      <c r="AL78" s="108"/>
    </row>
    <row r="79" spans="2:46" ht="15" customHeight="1" x14ac:dyDescent="0.25">
      <c r="B79" s="25"/>
      <c r="C79" s="93" t="s">
        <v>374</v>
      </c>
      <c r="D79" s="644"/>
      <c r="E79" s="94" t="s">
        <v>728</v>
      </c>
      <c r="F79" s="27"/>
      <c r="G79" s="39"/>
      <c r="H79" s="73"/>
      <c r="I79" s="111"/>
      <c r="AE79" s="108"/>
      <c r="AF79" s="108"/>
      <c r="AG79" s="108"/>
      <c r="AH79" s="108"/>
      <c r="AI79" s="108"/>
      <c r="AJ79" s="108"/>
      <c r="AK79" s="108"/>
      <c r="AL79" s="108"/>
    </row>
    <row r="80" spans="2:46" ht="6" customHeight="1" x14ac:dyDescent="0.25">
      <c r="B80" s="25"/>
      <c r="C80" s="25"/>
      <c r="D80" s="25"/>
      <c r="E80" s="25"/>
      <c r="F80" s="25"/>
      <c r="G80" s="25"/>
      <c r="H80" s="25"/>
      <c r="I80" s="111"/>
      <c r="AE80" s="108"/>
      <c r="AF80" s="108"/>
      <c r="AG80" s="108"/>
      <c r="AH80" s="108"/>
      <c r="AI80" s="108"/>
      <c r="AJ80" s="108"/>
      <c r="AK80" s="108"/>
      <c r="AL80" s="108"/>
      <c r="AN80" s="108"/>
      <c r="AO80" s="108"/>
      <c r="AP80" s="108"/>
      <c r="AQ80" s="108"/>
      <c r="AR80" s="108"/>
      <c r="AS80" s="108"/>
      <c r="AT80" s="108"/>
    </row>
    <row r="81" spans="2:38" x14ac:dyDescent="0.25">
      <c r="D81" s="85"/>
      <c r="AE81" s="108"/>
      <c r="AF81" s="108"/>
      <c r="AG81" s="108"/>
      <c r="AH81" s="108"/>
      <c r="AI81" s="108"/>
      <c r="AJ81" s="108"/>
      <c r="AK81" s="108"/>
      <c r="AL81" s="108"/>
    </row>
    <row r="82" spans="2:38" ht="18.75" x14ac:dyDescent="0.25">
      <c r="B82" s="732" t="s">
        <v>961</v>
      </c>
      <c r="C82" s="732"/>
      <c r="D82" s="732"/>
      <c r="E82" s="732"/>
      <c r="F82" s="732"/>
      <c r="G82" s="732"/>
      <c r="H82" s="732"/>
      <c r="AE82" s="108"/>
      <c r="AF82" s="108"/>
      <c r="AG82" s="108"/>
      <c r="AH82" s="108"/>
      <c r="AI82" s="108"/>
      <c r="AJ82" s="108"/>
      <c r="AK82" s="108"/>
      <c r="AL82" s="108"/>
    </row>
    <row r="83" spans="2:38" ht="6" customHeight="1" x14ac:dyDescent="0.25">
      <c r="B83" s="149"/>
      <c r="C83" s="149"/>
      <c r="D83" s="149"/>
      <c r="E83" s="149"/>
      <c r="F83" s="149"/>
      <c r="G83" s="149"/>
      <c r="AE83" s="108"/>
      <c r="AF83" s="108"/>
      <c r="AG83" s="108"/>
      <c r="AH83" s="108"/>
      <c r="AI83" s="108"/>
      <c r="AJ83" s="108"/>
      <c r="AK83" s="108"/>
      <c r="AL83" s="108"/>
    </row>
    <row r="84" spans="2:38" x14ac:dyDescent="0.25">
      <c r="B84" s="54"/>
      <c r="C84" s="730" t="s">
        <v>45</v>
      </c>
      <c r="D84" s="730"/>
      <c r="E84" s="730"/>
      <c r="F84" s="26"/>
      <c r="G84" s="43"/>
      <c r="H84" s="73"/>
    </row>
    <row r="85" spans="2:38" x14ac:dyDescent="0.25">
      <c r="B85" s="26"/>
      <c r="C85" s="91" t="s">
        <v>278</v>
      </c>
      <c r="D85" s="670">
        <v>1</v>
      </c>
      <c r="E85" s="659"/>
      <c r="F85" s="26"/>
      <c r="G85" s="26"/>
      <c r="H85" s="73"/>
    </row>
    <row r="86" spans="2:38" x14ac:dyDescent="0.25">
      <c r="B86" s="26"/>
      <c r="C86" s="91" t="s">
        <v>714</v>
      </c>
      <c r="D86" s="670">
        <v>0</v>
      </c>
      <c r="E86" s="659" t="str">
        <f>IF((SUM(D85:D87)=1),"","A soma das porcentagens de distribuição deve ser igual a 100%!")</f>
        <v/>
      </c>
      <c r="F86" s="26"/>
      <c r="G86" s="26"/>
      <c r="H86" s="73"/>
    </row>
    <row r="87" spans="2:38" x14ac:dyDescent="0.25">
      <c r="B87" s="26"/>
      <c r="C87" s="91" t="s">
        <v>894</v>
      </c>
      <c r="D87" s="670">
        <v>0</v>
      </c>
      <c r="E87" s="25"/>
      <c r="F87" s="26"/>
      <c r="G87" s="26"/>
      <c r="H87" s="73"/>
    </row>
    <row r="88" spans="2:38" ht="6" customHeight="1" x14ac:dyDescent="0.25">
      <c r="B88" s="26"/>
      <c r="C88" s="26"/>
      <c r="D88" s="25"/>
      <c r="E88" s="25"/>
      <c r="F88" s="26"/>
      <c r="G88" s="26"/>
      <c r="H88" s="73"/>
    </row>
    <row r="89" spans="2:38" ht="6" customHeight="1" x14ac:dyDescent="0.25">
      <c r="B89" s="156"/>
      <c r="C89" s="735"/>
      <c r="D89" s="735"/>
      <c r="E89" s="735"/>
      <c r="F89" s="125"/>
      <c r="G89" s="105"/>
    </row>
    <row r="90" spans="2:38" x14ac:dyDescent="0.25">
      <c r="B90" s="54"/>
      <c r="C90" s="730" t="s">
        <v>46</v>
      </c>
      <c r="D90" s="730"/>
      <c r="E90" s="730"/>
      <c r="F90" s="26"/>
      <c r="G90" s="43"/>
      <c r="H90" s="73"/>
    </row>
    <row r="91" spans="2:38" x14ac:dyDescent="0.25">
      <c r="B91" s="26"/>
      <c r="C91" s="91" t="s">
        <v>278</v>
      </c>
      <c r="D91" s="670">
        <v>1</v>
      </c>
      <c r="E91" s="659"/>
      <c r="F91" s="26"/>
      <c r="G91" s="26"/>
      <c r="H91" s="73"/>
    </row>
    <row r="92" spans="2:38" x14ac:dyDescent="0.25">
      <c r="B92" s="26"/>
      <c r="C92" s="91" t="s">
        <v>714</v>
      </c>
      <c r="D92" s="670">
        <v>0</v>
      </c>
      <c r="E92" s="659" t="str">
        <f>IF((SUM(D91:D93)=1),"","A soma das porcentagens de distribuição deve ser igual a 100%!")</f>
        <v/>
      </c>
      <c r="F92" s="26"/>
      <c r="G92" s="26"/>
      <c r="H92" s="73"/>
    </row>
    <row r="93" spans="2:38" x14ac:dyDescent="0.25">
      <c r="B93" s="26"/>
      <c r="C93" s="91" t="s">
        <v>894</v>
      </c>
      <c r="D93" s="670">
        <v>0</v>
      </c>
      <c r="E93" s="25"/>
      <c r="F93" s="26"/>
      <c r="G93" s="26"/>
      <c r="H93" s="73"/>
    </row>
    <row r="94" spans="2:38" ht="6" customHeight="1" x14ac:dyDescent="0.25">
      <c r="B94" s="26"/>
      <c r="C94" s="26"/>
      <c r="D94" s="25"/>
      <c r="E94" s="25"/>
      <c r="F94" s="26"/>
      <c r="G94" s="26"/>
      <c r="H94" s="73"/>
    </row>
    <row r="99" spans="4:4" x14ac:dyDescent="0.25">
      <c r="D99" s="85"/>
    </row>
    <row r="100" spans="4:4" x14ac:dyDescent="0.25">
      <c r="D100" s="85"/>
    </row>
    <row r="101" spans="4:4" x14ac:dyDescent="0.25">
      <c r="D101" s="85"/>
    </row>
    <row r="102" spans="4:4" x14ac:dyDescent="0.25">
      <c r="D102" s="85"/>
    </row>
    <row r="103" spans="4:4" x14ac:dyDescent="0.25">
      <c r="D103" s="85"/>
    </row>
    <row r="104" spans="4:4" x14ac:dyDescent="0.25">
      <c r="D104" s="85"/>
    </row>
    <row r="105" spans="4:4" x14ac:dyDescent="0.25">
      <c r="D105" s="85"/>
    </row>
    <row r="106" spans="4:4" x14ac:dyDescent="0.25">
      <c r="D106" s="85"/>
    </row>
    <row r="107" spans="4:4" x14ac:dyDescent="0.25">
      <c r="D107" s="85"/>
    </row>
    <row r="108" spans="4:4" x14ac:dyDescent="0.25">
      <c r="D108" s="85"/>
    </row>
    <row r="109" spans="4:4" x14ac:dyDescent="0.25">
      <c r="D109" s="85"/>
    </row>
    <row r="110" spans="4:4" x14ac:dyDescent="0.25">
      <c r="D110" s="85"/>
    </row>
    <row r="111" spans="4:4" x14ac:dyDescent="0.25">
      <c r="D111" s="85"/>
    </row>
    <row r="112" spans="4:4" x14ac:dyDescent="0.25">
      <c r="D112" s="85"/>
    </row>
    <row r="113" spans="4:4" x14ac:dyDescent="0.25">
      <c r="D113" s="85"/>
    </row>
    <row r="114" spans="4:4" x14ac:dyDescent="0.25">
      <c r="D114" s="85"/>
    </row>
    <row r="115" spans="4:4" x14ac:dyDescent="0.25">
      <c r="D115" s="85"/>
    </row>
    <row r="116" spans="4:4" x14ac:dyDescent="0.25">
      <c r="D116" s="85"/>
    </row>
    <row r="117" spans="4:4" x14ac:dyDescent="0.25">
      <c r="D117" s="85"/>
    </row>
    <row r="118" spans="4:4" x14ac:dyDescent="0.25">
      <c r="D118" s="85"/>
    </row>
    <row r="119" spans="4:4" x14ac:dyDescent="0.25">
      <c r="D119" s="85"/>
    </row>
    <row r="120" spans="4:4" x14ac:dyDescent="0.25">
      <c r="D120" s="85"/>
    </row>
    <row r="121" spans="4:4" x14ac:dyDescent="0.25">
      <c r="D121" s="85"/>
    </row>
    <row r="122" spans="4:4" x14ac:dyDescent="0.25">
      <c r="D122" s="85"/>
    </row>
    <row r="123" spans="4:4" x14ac:dyDescent="0.25">
      <c r="D123" s="85"/>
    </row>
    <row r="124" spans="4:4" x14ac:dyDescent="0.25">
      <c r="D124" s="85"/>
    </row>
    <row r="125" spans="4:4" x14ac:dyDescent="0.25">
      <c r="D125" s="85"/>
    </row>
    <row r="126" spans="4:4" x14ac:dyDescent="0.25">
      <c r="D126" s="85"/>
    </row>
    <row r="127" spans="4:4" x14ac:dyDescent="0.25">
      <c r="D127" s="85"/>
    </row>
    <row r="128" spans="4:4" x14ac:dyDescent="0.25">
      <c r="D128" s="85"/>
    </row>
    <row r="129" spans="4:4" x14ac:dyDescent="0.25">
      <c r="D129" s="85"/>
    </row>
    <row r="130" spans="4:4" x14ac:dyDescent="0.25">
      <c r="D130" s="85"/>
    </row>
    <row r="131" spans="4:4" x14ac:dyDescent="0.25">
      <c r="D131" s="85"/>
    </row>
    <row r="132" spans="4:4" x14ac:dyDescent="0.25">
      <c r="D132" s="85"/>
    </row>
    <row r="133" spans="4:4" x14ac:dyDescent="0.25">
      <c r="D133" s="85"/>
    </row>
    <row r="134" spans="4:4" x14ac:dyDescent="0.25">
      <c r="D134" s="85"/>
    </row>
    <row r="135" spans="4:4" x14ac:dyDescent="0.25">
      <c r="D135" s="85"/>
    </row>
    <row r="136" spans="4:4" x14ac:dyDescent="0.25">
      <c r="D136" s="85"/>
    </row>
    <row r="137" spans="4:4" x14ac:dyDescent="0.25">
      <c r="D137" s="85"/>
    </row>
    <row r="138" spans="4:4" x14ac:dyDescent="0.25">
      <c r="D138" s="85"/>
    </row>
    <row r="139" spans="4:4" x14ac:dyDescent="0.25">
      <c r="D139" s="85"/>
    </row>
    <row r="140" spans="4:4" x14ac:dyDescent="0.25">
      <c r="D140" s="85"/>
    </row>
    <row r="141" spans="4:4" x14ac:dyDescent="0.25">
      <c r="D141" s="85"/>
    </row>
    <row r="142" spans="4:4" x14ac:dyDescent="0.25">
      <c r="D142" s="85"/>
    </row>
    <row r="143" spans="4:4" x14ac:dyDescent="0.25">
      <c r="D143" s="85"/>
    </row>
    <row r="144" spans="4:4" x14ac:dyDescent="0.25">
      <c r="D144" s="85"/>
    </row>
    <row r="145" spans="4:4" x14ac:dyDescent="0.25">
      <c r="D145" s="85"/>
    </row>
    <row r="146" spans="4:4" x14ac:dyDescent="0.25">
      <c r="D146" s="85"/>
    </row>
    <row r="147" spans="4:4" x14ac:dyDescent="0.25">
      <c r="D147" s="85"/>
    </row>
    <row r="148" spans="4:4" x14ac:dyDescent="0.25">
      <c r="D148" s="85"/>
    </row>
    <row r="149" spans="4:4" x14ac:dyDescent="0.25">
      <c r="D149" s="85"/>
    </row>
    <row r="150" spans="4:4" x14ac:dyDescent="0.25">
      <c r="D150" s="85"/>
    </row>
    <row r="151" spans="4:4" x14ac:dyDescent="0.25">
      <c r="D151" s="85"/>
    </row>
    <row r="152" spans="4:4" x14ac:dyDescent="0.25">
      <c r="D152" s="85"/>
    </row>
    <row r="153" spans="4:4" x14ac:dyDescent="0.25">
      <c r="D153" s="85"/>
    </row>
    <row r="154" spans="4:4" x14ac:dyDescent="0.25">
      <c r="D154" s="85"/>
    </row>
    <row r="155" spans="4:4" x14ac:dyDescent="0.25">
      <c r="D155" s="85"/>
    </row>
    <row r="156" spans="4:4" x14ac:dyDescent="0.25">
      <c r="D156" s="85"/>
    </row>
    <row r="157" spans="4:4" x14ac:dyDescent="0.25">
      <c r="D157" s="85"/>
    </row>
    <row r="158" spans="4:4" x14ac:dyDescent="0.25">
      <c r="D158" s="85"/>
    </row>
    <row r="159" spans="4:4" x14ac:dyDescent="0.25">
      <c r="D159" s="85"/>
    </row>
    <row r="160" spans="4:4" x14ac:dyDescent="0.25">
      <c r="D160" s="85"/>
    </row>
    <row r="161" spans="4:4" x14ac:dyDescent="0.25">
      <c r="D161" s="85"/>
    </row>
    <row r="162" spans="4:4" x14ac:dyDescent="0.25">
      <c r="D162" s="85"/>
    </row>
    <row r="163" spans="4:4" x14ac:dyDescent="0.25">
      <c r="D163" s="85"/>
    </row>
    <row r="164" spans="4:4" x14ac:dyDescent="0.25">
      <c r="D164" s="85"/>
    </row>
    <row r="165" spans="4:4" x14ac:dyDescent="0.25">
      <c r="D165" s="85"/>
    </row>
    <row r="166" spans="4:4" x14ac:dyDescent="0.25">
      <c r="D166" s="85"/>
    </row>
    <row r="167" spans="4:4" x14ac:dyDescent="0.25">
      <c r="D167" s="85"/>
    </row>
    <row r="168" spans="4:4" x14ac:dyDescent="0.25">
      <c r="D168" s="85"/>
    </row>
    <row r="169" spans="4:4" x14ac:dyDescent="0.25">
      <c r="D169" s="85"/>
    </row>
    <row r="170" spans="4:4" x14ac:dyDescent="0.25">
      <c r="D170" s="85"/>
    </row>
    <row r="171" spans="4:4" x14ac:dyDescent="0.25">
      <c r="D171" s="85"/>
    </row>
    <row r="172" spans="4:4" x14ac:dyDescent="0.25">
      <c r="D172" s="85"/>
    </row>
    <row r="173" spans="4:4" x14ac:dyDescent="0.25">
      <c r="D173" s="85"/>
    </row>
    <row r="174" spans="4:4" x14ac:dyDescent="0.25">
      <c r="D174" s="85"/>
    </row>
    <row r="175" spans="4:4" x14ac:dyDescent="0.25">
      <c r="D175" s="85"/>
    </row>
    <row r="176" spans="4:4" x14ac:dyDescent="0.25">
      <c r="D176" s="85"/>
    </row>
    <row r="177" spans="4:4" x14ac:dyDescent="0.25">
      <c r="D177" s="85"/>
    </row>
    <row r="178" spans="4:4" x14ac:dyDescent="0.25">
      <c r="D178" s="85"/>
    </row>
    <row r="179" spans="4:4" x14ac:dyDescent="0.25">
      <c r="D179" s="85"/>
    </row>
    <row r="180" spans="4:4" x14ac:dyDescent="0.25">
      <c r="D180" s="85"/>
    </row>
    <row r="181" spans="4:4" x14ac:dyDescent="0.25">
      <c r="D181" s="85"/>
    </row>
    <row r="182" spans="4:4" x14ac:dyDescent="0.25">
      <c r="D182" s="85"/>
    </row>
    <row r="183" spans="4:4" x14ac:dyDescent="0.25">
      <c r="D183" s="85"/>
    </row>
    <row r="184" spans="4:4" x14ac:dyDescent="0.25">
      <c r="D184" s="85"/>
    </row>
    <row r="185" spans="4:4" x14ac:dyDescent="0.25">
      <c r="D185" s="85"/>
    </row>
    <row r="186" spans="4:4" x14ac:dyDescent="0.25">
      <c r="D186" s="85"/>
    </row>
    <row r="187" spans="4:4" x14ac:dyDescent="0.25">
      <c r="D187" s="85"/>
    </row>
    <row r="188" spans="4:4" x14ac:dyDescent="0.25">
      <c r="D188" s="85"/>
    </row>
    <row r="189" spans="4:4" x14ac:dyDescent="0.25">
      <c r="D189" s="85"/>
    </row>
    <row r="190" spans="4:4" x14ac:dyDescent="0.25">
      <c r="D190" s="85"/>
    </row>
    <row r="191" spans="4:4" x14ac:dyDescent="0.25">
      <c r="D191" s="85"/>
    </row>
    <row r="192" spans="4:4" x14ac:dyDescent="0.25">
      <c r="D192" s="85"/>
    </row>
    <row r="193" spans="4:4" x14ac:dyDescent="0.25">
      <c r="D193" s="85"/>
    </row>
    <row r="194" spans="4:4" x14ac:dyDescent="0.25">
      <c r="D194" s="85"/>
    </row>
    <row r="195" spans="4:4" x14ac:dyDescent="0.25">
      <c r="D195" s="85"/>
    </row>
    <row r="196" spans="4:4" x14ac:dyDescent="0.25">
      <c r="D196" s="85"/>
    </row>
    <row r="197" spans="4:4" x14ac:dyDescent="0.25">
      <c r="D197" s="85"/>
    </row>
    <row r="198" spans="4:4" x14ac:dyDescent="0.25">
      <c r="D198" s="85"/>
    </row>
    <row r="199" spans="4:4" x14ac:dyDescent="0.25">
      <c r="D199" s="85"/>
    </row>
    <row r="200" spans="4:4" x14ac:dyDescent="0.25">
      <c r="D200" s="85"/>
    </row>
    <row r="201" spans="4:4" x14ac:dyDescent="0.25">
      <c r="D201" s="85"/>
    </row>
    <row r="202" spans="4:4" x14ac:dyDescent="0.25">
      <c r="D202" s="85"/>
    </row>
    <row r="203" spans="4:4" x14ac:dyDescent="0.25">
      <c r="D203" s="85"/>
    </row>
    <row r="204" spans="4:4" x14ac:dyDescent="0.25">
      <c r="D204" s="85"/>
    </row>
    <row r="205" spans="4:4" x14ac:dyDescent="0.25">
      <c r="D205" s="85"/>
    </row>
    <row r="206" spans="4:4" x14ac:dyDescent="0.25">
      <c r="D206" s="85"/>
    </row>
    <row r="207" spans="4:4" x14ac:dyDescent="0.25">
      <c r="D207" s="85"/>
    </row>
    <row r="208" spans="4:4" x14ac:dyDescent="0.25">
      <c r="D208" s="85"/>
    </row>
    <row r="209" spans="4:4" x14ac:dyDescent="0.25">
      <c r="D209" s="85"/>
    </row>
    <row r="210" spans="4:4" x14ac:dyDescent="0.25">
      <c r="D210" s="85"/>
    </row>
    <row r="211" spans="4:4" x14ac:dyDescent="0.25">
      <c r="D211" s="85"/>
    </row>
    <row r="212" spans="4:4" x14ac:dyDescent="0.25">
      <c r="D212" s="85"/>
    </row>
    <row r="213" spans="4:4" x14ac:dyDescent="0.25">
      <c r="D213" s="85"/>
    </row>
    <row r="214" spans="4:4" x14ac:dyDescent="0.25">
      <c r="D214" s="85"/>
    </row>
    <row r="215" spans="4:4" x14ac:dyDescent="0.25">
      <c r="D215" s="85"/>
    </row>
    <row r="216" spans="4:4" x14ac:dyDescent="0.25">
      <c r="D216" s="85"/>
    </row>
    <row r="217" spans="4:4" x14ac:dyDescent="0.25">
      <c r="D217" s="85"/>
    </row>
    <row r="218" spans="4:4" x14ac:dyDescent="0.25">
      <c r="D218" s="85"/>
    </row>
    <row r="219" spans="4:4" x14ac:dyDescent="0.25">
      <c r="D219" s="85"/>
    </row>
    <row r="220" spans="4:4" x14ac:dyDescent="0.25">
      <c r="D220" s="85"/>
    </row>
    <row r="221" spans="4:4" x14ac:dyDescent="0.25">
      <c r="D221" s="85"/>
    </row>
    <row r="222" spans="4:4" x14ac:dyDescent="0.25">
      <c r="D222" s="85"/>
    </row>
    <row r="223" spans="4:4" x14ac:dyDescent="0.25">
      <c r="D223" s="85"/>
    </row>
    <row r="224" spans="4:4" x14ac:dyDescent="0.25">
      <c r="D224" s="85"/>
    </row>
    <row r="225" spans="4:4" x14ac:dyDescent="0.25">
      <c r="D225" s="85"/>
    </row>
    <row r="226" spans="4:4" x14ac:dyDescent="0.25">
      <c r="D226" s="85"/>
    </row>
    <row r="227" spans="4:4" x14ac:dyDescent="0.25">
      <c r="D227" s="85"/>
    </row>
    <row r="228" spans="4:4" x14ac:dyDescent="0.25">
      <c r="D228" s="85"/>
    </row>
    <row r="229" spans="4:4" x14ac:dyDescent="0.25">
      <c r="D229" s="85"/>
    </row>
    <row r="230" spans="4:4" x14ac:dyDescent="0.25">
      <c r="D230" s="85"/>
    </row>
    <row r="231" spans="4:4" x14ac:dyDescent="0.25">
      <c r="D231" s="85"/>
    </row>
    <row r="232" spans="4:4" x14ac:dyDescent="0.25">
      <c r="D232" s="85"/>
    </row>
    <row r="233" spans="4:4" x14ac:dyDescent="0.25">
      <c r="D233" s="85"/>
    </row>
    <row r="234" spans="4:4" x14ac:dyDescent="0.25">
      <c r="D234" s="85"/>
    </row>
    <row r="235" spans="4:4" x14ac:dyDescent="0.25">
      <c r="D235" s="85"/>
    </row>
    <row r="236" spans="4:4" x14ac:dyDescent="0.25">
      <c r="D236" s="85"/>
    </row>
    <row r="237" spans="4:4" x14ac:dyDescent="0.25">
      <c r="D237" s="85"/>
    </row>
    <row r="238" spans="4:4" x14ac:dyDescent="0.25">
      <c r="D238" s="85"/>
    </row>
    <row r="239" spans="4:4" x14ac:dyDescent="0.25">
      <c r="D239" s="85"/>
    </row>
    <row r="240" spans="4:4" x14ac:dyDescent="0.25">
      <c r="D240" s="85"/>
    </row>
    <row r="241" spans="4:4" x14ac:dyDescent="0.25">
      <c r="D241" s="85"/>
    </row>
    <row r="242" spans="4:4" x14ac:dyDescent="0.25">
      <c r="D242" s="85"/>
    </row>
    <row r="243" spans="4:4" x14ac:dyDescent="0.25">
      <c r="D243" s="85"/>
    </row>
    <row r="244" spans="4:4" x14ac:dyDescent="0.25">
      <c r="D244" s="85"/>
    </row>
    <row r="245" spans="4:4" x14ac:dyDescent="0.25">
      <c r="D245" s="85"/>
    </row>
    <row r="246" spans="4:4" x14ac:dyDescent="0.25">
      <c r="D246" s="85"/>
    </row>
    <row r="247" spans="4:4" x14ac:dyDescent="0.25">
      <c r="D247" s="85"/>
    </row>
    <row r="248" spans="4:4" x14ac:dyDescent="0.25">
      <c r="D248" s="85"/>
    </row>
    <row r="249" spans="4:4" x14ac:dyDescent="0.25">
      <c r="D249" s="85"/>
    </row>
    <row r="250" spans="4:4" x14ac:dyDescent="0.25">
      <c r="D250" s="85"/>
    </row>
    <row r="251" spans="4:4" x14ac:dyDescent="0.25">
      <c r="D251" s="85"/>
    </row>
    <row r="252" spans="4:4" x14ac:dyDescent="0.25">
      <c r="D252" s="85"/>
    </row>
    <row r="253" spans="4:4" x14ac:dyDescent="0.25">
      <c r="D253" s="85"/>
    </row>
    <row r="254" spans="4:4" x14ac:dyDescent="0.25">
      <c r="D254" s="85"/>
    </row>
    <row r="255" spans="4:4" x14ac:dyDescent="0.25">
      <c r="D255" s="85"/>
    </row>
    <row r="256" spans="4:4" x14ac:dyDescent="0.25">
      <c r="D256" s="85"/>
    </row>
    <row r="257" spans="4:4" x14ac:dyDescent="0.25">
      <c r="D257" s="85"/>
    </row>
    <row r="258" spans="4:4" x14ac:dyDescent="0.25">
      <c r="D258" s="85"/>
    </row>
    <row r="259" spans="4:4" x14ac:dyDescent="0.25">
      <c r="D259" s="85"/>
    </row>
    <row r="260" spans="4:4" x14ac:dyDescent="0.25">
      <c r="D260" s="85"/>
    </row>
    <row r="261" spans="4:4" x14ac:dyDescent="0.25">
      <c r="D261" s="85"/>
    </row>
    <row r="262" spans="4:4" x14ac:dyDescent="0.25">
      <c r="D262" s="85"/>
    </row>
    <row r="263" spans="4:4" x14ac:dyDescent="0.25">
      <c r="D263" s="85"/>
    </row>
    <row r="264" spans="4:4" x14ac:dyDescent="0.25">
      <c r="D264" s="85"/>
    </row>
    <row r="265" spans="4:4" x14ac:dyDescent="0.25">
      <c r="D265" s="85"/>
    </row>
    <row r="266" spans="4:4" x14ac:dyDescent="0.25">
      <c r="D266" s="85"/>
    </row>
    <row r="267" spans="4:4" x14ac:dyDescent="0.25">
      <c r="D267" s="85"/>
    </row>
    <row r="268" spans="4:4" x14ac:dyDescent="0.25">
      <c r="D268" s="85"/>
    </row>
    <row r="269" spans="4:4" x14ac:dyDescent="0.25">
      <c r="D269" s="85"/>
    </row>
    <row r="270" spans="4:4" x14ac:dyDescent="0.25">
      <c r="D270" s="85"/>
    </row>
    <row r="271" spans="4:4" x14ac:dyDescent="0.25">
      <c r="D271" s="85"/>
    </row>
    <row r="272" spans="4:4" x14ac:dyDescent="0.25">
      <c r="D272" s="85"/>
    </row>
    <row r="273" spans="4:4" x14ac:dyDescent="0.25">
      <c r="D273" s="85"/>
    </row>
    <row r="274" spans="4:4" x14ac:dyDescent="0.25">
      <c r="D274" s="85"/>
    </row>
    <row r="275" spans="4:4" x14ac:dyDescent="0.25">
      <c r="D275" s="85"/>
    </row>
    <row r="276" spans="4:4" x14ac:dyDescent="0.25">
      <c r="D276" s="85"/>
    </row>
    <row r="277" spans="4:4" x14ac:dyDescent="0.25">
      <c r="D277" s="85"/>
    </row>
    <row r="278" spans="4:4" x14ac:dyDescent="0.25">
      <c r="D278" s="85"/>
    </row>
    <row r="279" spans="4:4" x14ac:dyDescent="0.25">
      <c r="D279" s="85"/>
    </row>
    <row r="280" spans="4:4" x14ac:dyDescent="0.25">
      <c r="D280" s="85"/>
    </row>
    <row r="281" spans="4:4" x14ac:dyDescent="0.25">
      <c r="D281" s="85"/>
    </row>
    <row r="282" spans="4:4" x14ac:dyDescent="0.25">
      <c r="D282" s="85"/>
    </row>
    <row r="283" spans="4:4" x14ac:dyDescent="0.25">
      <c r="D283" s="85"/>
    </row>
    <row r="284" spans="4:4" x14ac:dyDescent="0.25">
      <c r="D284" s="85"/>
    </row>
    <row r="285" spans="4:4" x14ac:dyDescent="0.25">
      <c r="D285" s="85"/>
    </row>
    <row r="286" spans="4:4" x14ac:dyDescent="0.25">
      <c r="D286" s="85"/>
    </row>
    <row r="287" spans="4:4" x14ac:dyDescent="0.25">
      <c r="D287" s="85"/>
    </row>
    <row r="288" spans="4:4" x14ac:dyDescent="0.25">
      <c r="D288" s="85"/>
    </row>
    <row r="289" spans="4:4" x14ac:dyDescent="0.25">
      <c r="D289" s="85"/>
    </row>
    <row r="290" spans="4:4" x14ac:dyDescent="0.25">
      <c r="D290" s="85"/>
    </row>
    <row r="291" spans="4:4" x14ac:dyDescent="0.25">
      <c r="D291" s="85"/>
    </row>
    <row r="292" spans="4:4" x14ac:dyDescent="0.25">
      <c r="D292" s="85"/>
    </row>
    <row r="293" spans="4:4" x14ac:dyDescent="0.25">
      <c r="D293" s="85"/>
    </row>
    <row r="294" spans="4:4" x14ac:dyDescent="0.25">
      <c r="D294" s="85"/>
    </row>
    <row r="295" spans="4:4" x14ac:dyDescent="0.25">
      <c r="D295" s="85"/>
    </row>
    <row r="296" spans="4:4" x14ac:dyDescent="0.25">
      <c r="D296" s="85"/>
    </row>
  </sheetData>
  <sheetProtection password="E2B3" sheet="1" objects="1" scenarios="1" selectLockedCells="1"/>
  <mergeCells count="19">
    <mergeCell ref="C90:E90"/>
    <mergeCell ref="B25:H25"/>
    <mergeCell ref="B37:H37"/>
    <mergeCell ref="B43:H43"/>
    <mergeCell ref="C45:E45"/>
    <mergeCell ref="C50:E50"/>
    <mergeCell ref="C55:E55"/>
    <mergeCell ref="C60:E60"/>
    <mergeCell ref="C65:E65"/>
    <mergeCell ref="B82:H82"/>
    <mergeCell ref="C84:E84"/>
    <mergeCell ref="C89:E89"/>
    <mergeCell ref="B24:H24"/>
    <mergeCell ref="C4:H4"/>
    <mergeCell ref="C6:H6"/>
    <mergeCell ref="C8:H8"/>
    <mergeCell ref="C10:D10"/>
    <mergeCell ref="C13:D13"/>
    <mergeCell ref="D15:F15"/>
  </mergeCells>
  <conditionalFormatting sqref="D80">
    <cfRule type="expression" dxfId="29" priority="1">
      <formula>$B$23</formula>
    </cfRule>
  </conditionalFormatting>
  <dataValidations count="34">
    <dataValidation allowBlank="1" showInputMessage="1" showErrorMessage="1" error="Número inválido. Podem ser preenchidos números com até duas casas decimais." prompt="Refere-se à quantidade total de palha processada anualmente, ou seja, palha enfardada e/ou palha recolhida por forageira." sqref="D31" xr:uid="{00000000-0002-0000-0700-000000000000}"/>
    <dataValidation allowBlank="1" showInputMessage="1" showErrorMessage="1" prompt="Refere-se ao total anual de colmos processados (excluindo impurezas vegetais e minerais). Este parâmetro deve ser reportado em base úmida. " sqref="D31" xr:uid="{00000000-0002-0000-0700-000001000000}"/>
    <dataValidation type="decimal" allowBlank="1" showInputMessage="1" showErrorMessage="1" error="Número inválido." prompt="Refere-se ao percentual do volume de etanol hidratado comercializado que é distribuido (distância percorrida da usina até o posto de combustível) via sistema logístico &quot;Rodoviário + Ferroviário&quot;." sqref="D93" xr:uid="{00000000-0002-0000-0700-000002000000}">
      <formula1>0</formula1>
      <formula2>1</formula2>
    </dataValidation>
    <dataValidation type="decimal" allowBlank="1" showInputMessage="1" showErrorMessage="1" error="Número inválido. " prompt="Refere-se ao percentual do volume de etanol hidratado comercializado que é distribuido (distância percorrida da usina até o posto de combustível) via sistema logístico &quot;Rodoviário + Dutoviário.&quot;" sqref="D92" xr:uid="{00000000-0002-0000-0700-000003000000}">
      <formula1>0</formula1>
      <formula2>1</formula2>
    </dataValidation>
    <dataValidation type="decimal" allowBlank="1" showInputMessage="1" showErrorMessage="1" error="Número inválido." prompt="Refere-se ao percentual do volume de etanol hidratado comercializado que é distribuido (distância percorrida da usina até o posto de combustível) via sistema logístico exclusivamente Rodoviário." sqref="D91" xr:uid="{00000000-0002-0000-0700-000004000000}">
      <formula1>0</formula1>
      <formula2>1</formula2>
    </dataValidation>
    <dataValidation type="decimal" allowBlank="1" showInputMessage="1" showErrorMessage="1" error="Número inválido." prompt="Refere-se ao percentual do volume de etanol anidro comercializado que é distribuido (distância percorrida da usina até o posto de combustível) via sistema logístico &quot;Rodoviário + Ferroviário&quot;." sqref="D87" xr:uid="{00000000-0002-0000-0700-000005000000}">
      <formula1>0</formula1>
      <formula2>1</formula2>
    </dataValidation>
    <dataValidation type="decimal" allowBlank="1" showInputMessage="1" showErrorMessage="1" error="Número inválido. " prompt="Refere-se ao percentual do volume de etanol anidro comercializado que é distribuido (distância percorrida da usina até o posto de combustível) via sistema logístico &quot;Rodoviário + Dutoviário.&quot;" sqref="D86" xr:uid="{00000000-0002-0000-0700-000006000000}">
      <formula1>0</formula1>
      <formula2>1</formula2>
    </dataValidation>
    <dataValidation type="decimal" allowBlank="1" showInputMessage="1" showErrorMessage="1" error="Número inválido. " prompt="Refere-se ao percentual do volume de etanol anidro comercializado que é distribuido (distância percorrida da usina até o posto de combustível) via sistema logístico exclusivamente Rodoviário." sqref="D85" xr:uid="{00000000-0002-0000-0700-000007000000}">
      <formula1>0</formula1>
      <formula2>1</formula2>
    </dataValidation>
    <dataValidation type="decimal" allowBlank="1" showInputMessage="1" showErrorMessage="1" error="Número inválido. " prompt="Teor de umidade:_x000a__x000a_Massa de água / Massa total" sqref="D62 D57 D52 D67 D47" xr:uid="{00000000-0002-0000-0700-000008000000}">
      <formula1>0</formula1>
      <formula2>1</formula2>
    </dataValidation>
    <dataValidation type="custom" allowBlank="1" showInputMessage="1" showErrorMessage="1" error="Número inválido. Podem ser preenchidos números com até duas casas decimais." prompt="Refere-se à quantidade total de bagaço adquirido de terceiros processada anualmente. Deve ser reportado em base úmida." sqref="D74:D79 D26" xr:uid="{00000000-0002-0000-0700-000009000000}">
      <formula1>IF(AND(D26&gt;=0,D26=ROUND(D26,2)),D26,"")</formula1>
    </dataValidation>
    <dataValidation type="decimal" allowBlank="1" showInputMessage="1" showErrorMessage="1" error="Número inválido. _x000a_" prompt="Refere-se ao teor de umidade do bagaço adquirido de terceiros." sqref="G26" xr:uid="{00000000-0002-0000-0700-00000A000000}">
      <formula1>0</formula1>
      <formula2>1</formula2>
    </dataValidation>
    <dataValidation type="list" allowBlank="1" showErrorMessage="1" sqref="C13:D13" xr:uid="{00000000-0002-0000-0700-00000B000000}">
      <formula1>Etanol</formula1>
    </dataValidation>
    <dataValidation type="custom" allowBlank="1" showInputMessage="1" showErrorMessage="1" error="Número inválido. " prompt="Informar o Poder Calorífico Inferior (PCI) do biogás." sqref="G74" xr:uid="{00000000-0002-0000-0700-00000C000000}">
      <formula1>IF(AND(G74&lt;=50,G74&gt;=30,G74=ROUND(G74,2)),G74,"")</formula1>
    </dataValidation>
    <dataValidation type="custom" allowBlank="1" showInputMessage="1" showErrorMessage="1" error="Número inválido. _x000a_" prompt="Informar o Poder Calorífico Inferior (PCI) do biogás." sqref="G73" xr:uid="{00000000-0002-0000-0700-00000D000000}">
      <formula1>IF(AND(G73&lt;=50,G73&gt;=30,G73=ROUND(G73,2)),G73,"")</formula1>
    </dataValidation>
    <dataValidation type="custom" allowBlank="1" showInputMessage="1" showErrorMessage="1" error="Número inválido. Podem ser preenchidos números com até duas casas decimais." prompt="Refere-se à distância média ponderada de transporte do bagaço entre o fornecedor e a usina." sqref="D48 D27" xr:uid="{00000000-0002-0000-0700-00000E000000}">
      <formula1>IF(AND(D27&gt;=0,D27=ROUND(D27,2)),D27,"")</formula1>
    </dataValidation>
    <dataValidation type="custom" allowBlank="1" showInputMessage="1" showErrorMessage="1" error="Número inválido. Podem ser preenchidos números com até duas casas decimais." prompt="Refere-se à quantidade total de palha adquirida de terceiros processada anualmente. Deve ser reportado em base seca." sqref="D28" xr:uid="{00000000-0002-0000-0700-00000F000000}">
      <formula1>IF(AND(D28&gt;=0,D28=ROUND(D28,2)),D28,"")</formula1>
    </dataValidation>
    <dataValidation type="custom" allowBlank="1" showInputMessage="1" showErrorMessage="1" error="Número inválido. Podem ser preenchidos números com até duas casas decimais." prompt="Refere-se à distância média ponderada de transporte da palha entre o fornecedor e a usina." sqref="D53 D29" xr:uid="{00000000-0002-0000-0700-000010000000}">
      <formula1>IF(AND(D29&gt;=0,D29=ROUND(D29,2)),D29,"")</formula1>
    </dataValidation>
    <dataValidation type="custom" allowBlank="1" showInputMessage="1" showErrorMessage="1" error="Número inválido. Podem ser preenchidos números com até duas casas decimais." prompt="Refere-se ao volume total (corrigido para a temperatura de 20 °C) de etanol anidro produzido anualmente dividido pela quantidade de MLC processada." sqref="D33" xr:uid="{00000000-0002-0000-0700-000011000000}">
      <formula1>IF(AND(D33&gt;=0,D33=ROUND(D33,2)),D33,"")</formula1>
    </dataValidation>
    <dataValidation type="custom" allowBlank="1" showInputMessage="1" showErrorMessage="1" error="Número inválido. Podem ser preenchidos números com até duas casas decimais." prompt="Refere-se ao volume total (corrigido para a temperatura de 20 °C) de etanol hidratado produzido anualmente dividido pela quantidade de MLC processada." sqref="D34" xr:uid="{00000000-0002-0000-0700-000012000000}">
      <formula1>IF(AND(D34&gt;=0,D34=ROUND(D34,2)),D34,"")</formula1>
    </dataValidation>
    <dataValidation type="custom" allowBlank="1" showInputMessage="1" showErrorMessage="1" error="Número inválido. Podem ser preenchidos números com até duas casas decimais." prompt="Refere-se à quantidade total de eletricidade comercializada anualmente dividida pela quantidade de MLC processada." sqref="D35" xr:uid="{00000000-0002-0000-0700-000013000000}">
      <formula1>IF(AND(D35&gt;=0,D35=ROUND(D35,2)),D35,"")</formula1>
    </dataValidation>
    <dataValidation type="custom" allowBlank="1" showInputMessage="1" showErrorMessage="1" error="Número inválido. Podem ser preenchidos números com até duas casas decimais." prompt="Refere-se à quantidade total anual de bagaço adquirido pela usina e utilizado para geração de vapor/eletricidade, dividido pela quantidade de MLC processado. Deve ser reportado em base úmida." sqref="D46" xr:uid="{00000000-0002-0000-0700-000014000000}">
      <formula1>IF(AND(D46&gt;=0,D46=ROUND(D46,2)),D46,"")</formula1>
    </dataValidation>
    <dataValidation type="custom" allowBlank="1" showInputMessage="1" showErrorMessage="1" error="Número inválido. Podem ser preenchidos números com até duas casas decimais." prompt="Refere-se à quantidade total anual de palha adquirida pela usina e utilizada para geração de vapor/eletricidade, dividida pela quantidade de MLC processado. Deve ser reportada em base úmida." sqref="D51" xr:uid="{00000000-0002-0000-0700-000015000000}">
      <formula1>IF(AND(D51&gt;=0,D51=ROUND(D51,2)),D51,"")</formula1>
    </dataValidation>
    <dataValidation type="custom" allowBlank="1" showInputMessage="1" showErrorMessage="1" error="Número inválido. Podem ser preenchidos números com até duas casas decimais." prompt="Refere-se à quantidade total anual de cavaco de madeira adquirido pela usina e utilizado para geração de vapor/eletricidade, dividido pela quantidade de MLC processado. Deve ser reportado em base úmida." sqref="D56" xr:uid="{00000000-0002-0000-0700-000016000000}">
      <formula1>IF(AND(D56&gt;=0,D56=ROUND(D56,2)),D56,"")</formula1>
    </dataValidation>
    <dataValidation type="custom" allowBlank="1" showInputMessage="1" showErrorMessage="1" error="Número inválido. Podem ser preenchidos números com até duas casas decimais." prompt="Refere-se à distância média ponderada de transporte do cavaco de madeira entre o fornecedor e a usina." sqref="D58" xr:uid="{00000000-0002-0000-0700-000017000000}">
      <formula1>IF(AND(D58&gt;=0,D58=ROUND(D58,2)),D58,"")</formula1>
    </dataValidation>
    <dataValidation type="custom" allowBlank="1" showInputMessage="1" showErrorMessage="1" error="Número inválido. Podem ser preenchidos números com até duas casas decimais." prompt="Refere-se à quantidade total anual de lenha adquirida pela usina e utilizada para geração de vapor/eletricidade, dividida pela quantidade de MLC processado. Deve ser reportada em base úmida." sqref="D61" xr:uid="{00000000-0002-0000-0700-000018000000}">
      <formula1>IF(AND(D61&gt;=0,D61=ROUND(D61,2)),D61,"")</formula1>
    </dataValidation>
    <dataValidation type="custom" allowBlank="1" showInputMessage="1" showErrorMessage="1" error="Número inválido. Podem ser preenchidos números com até duas casas decimais." prompt="Refere-se à distância média ponderada de transporte da lenha entre o fornecedor e a usina." sqref="D63" xr:uid="{00000000-0002-0000-0700-000019000000}">
      <formula1>IF(AND(D63&gt;=0,D63=ROUND(D63,2)),D63,"")</formula1>
    </dataValidation>
    <dataValidation type="custom" allowBlank="1" showInputMessage="1" showErrorMessage="1" error="Número inválido. Podem ser preenchidos números com até duas casas decimais." prompt="Refere-se à quantidade total anual de resíduos florestais adquiridos pela usina e utilizado para geração de vapor/eletricidade, dividido pela quantidade de MLC processada. Deve ser reportado em base úmida." sqref="D66" xr:uid="{00000000-0002-0000-0700-00001A000000}">
      <formula1>IF(AND(D66&gt;=0,D66=ROUND(D66,2)),D66,"")</formula1>
    </dataValidation>
    <dataValidation type="custom" allowBlank="1" showInputMessage="1" showErrorMessage="1" error="Número inválido. Podem ser preenchidos números com até duas casas decimais." prompt="Refere-se à distância média ponderada de transporte dos resíduos florestais entre o fornecedor e a usina." sqref="D68" xr:uid="{00000000-0002-0000-0700-00001B000000}">
      <formula1>IF(AND(D68&gt;=0,D68=ROUND(D68,2)),D68,"")</formula1>
    </dataValidation>
    <dataValidation type="custom" allowBlank="1" showInputMessage="1" showErrorMessage="1" error="Número inválido. Podem ser preenchidos números com até duas casas decimais." prompt="Refere-se ao consumo total de combustíveis, por fonte, dividido pela quantidade total de cana processada." sqref="D70:D72" xr:uid="{00000000-0002-0000-0700-00001C000000}">
      <formula1>IF(AND(D70&gt;=0,D70=ROUND(D70,2)),D70,"")</formula1>
    </dataValidation>
    <dataValidation type="custom" allowBlank="1" showInputMessage="1" showErrorMessage="1" error="Número inválido. Podem ser preenchidos números com até duas casas decimais." prompt="Refere-se ao consumo total de combustíveis, por fonte, dividido pela quantidade total de cana processada. Biogás/biometano próprio refere-se ao biogás/biometano produzido na mesma unidade de produção, usando residuos disponíveis nessa unidade." sqref="D73" xr:uid="{00000000-0002-0000-0700-00001D000000}">
      <formula1>IF(AND(D73&gt;=0,D73=ROUND(D73,2)),D73,"")</formula1>
    </dataValidation>
    <dataValidation type="custom" allowBlank="1" showInputMessage="1" showErrorMessage="1" error="Número inválido. Podem ser preenchidos números com até duas casas decimais." prompt="Refere-se à quantidade total anual de enzimas consumidas no processo dividida pela quantidade total anual de MLC processada. " sqref="D38" xr:uid="{00000000-0002-0000-0700-00001E000000}">
      <formula1>IF(AND(D38&gt;=0,D38=ROUND(D38,2)),D38,"")</formula1>
    </dataValidation>
    <dataValidation type="custom" allowBlank="1" showInputMessage="1" showErrorMessage="1" error="Número inválido. Podem ser preenchidos números com até duas casas decimais." prompt="Refere-se à quantidade total anual de ácido sulfúrico utilidado no pré-tratamento dividida pela quantidade total anual de cana processada. " sqref="D39" xr:uid="{00000000-0002-0000-0700-00001F000000}">
      <formula1>IF(AND(D39&gt;=0,D39=ROUND(D39,2)),D39,"")</formula1>
    </dataValidation>
    <dataValidation type="custom" allowBlank="1" showInputMessage="1" showErrorMessage="1" error="Número inválido. Podem ser preenchidos números com até duas casas decimais." prompt="Refere-se à quantidade total anual de amônia utilidada no pré-tratamento dividida pela quantidade total anual de cana processada" sqref="D40" xr:uid="{00000000-0002-0000-0700-000020000000}">
      <formula1>IF(AND(D40&gt;=0,D40=ROUND(D40,2)),D40,"")</formula1>
    </dataValidation>
    <dataValidation type="custom" allowBlank="1" showInputMessage="1" showErrorMessage="1" error="Número inválido. Podem ser preenchidos números com até duas casas decimais." prompt="Refere-se à quantidade total anual de hidróxido de sódio utilizado no pré-tratamento dividida pela quantidade total anual de cana processada. " sqref="D41" xr:uid="{00000000-0002-0000-0700-000021000000}">
      <formula1>IF(AND(D41&gt;=0,D41=ROUND(D41,2)),D41,"")</formula1>
    </dataValidation>
  </dataValidations>
  <pageMargins left="0.511811024" right="0.511811024" top="0.78740157499999996" bottom="0.78740157499999996" header="0.31496062000000002" footer="0.31496062000000002"/>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36">
    <tabColor rgb="FF265EAA"/>
  </sheetPr>
  <dimension ref="A2:J238"/>
  <sheetViews>
    <sheetView showGridLines="0" workbookViewId="0">
      <selection activeCell="M27" sqref="M27"/>
    </sheetView>
  </sheetViews>
  <sheetFormatPr defaultColWidth="9.140625" defaultRowHeight="15" x14ac:dyDescent="0.25"/>
  <cols>
    <col min="1" max="1" width="5.7109375" style="71" customWidth="1"/>
    <col min="2" max="2" width="50.7109375" style="70" customWidth="1"/>
    <col min="3" max="4" width="15.7109375" style="70" customWidth="1"/>
    <col min="5" max="5" width="15.7109375" style="71" customWidth="1"/>
    <col min="6" max="6" width="15.7109375" style="230" customWidth="1"/>
    <col min="7" max="7" width="2.7109375" style="230" customWidth="1"/>
    <col min="8" max="8" width="15.7109375" style="70" customWidth="1"/>
    <col min="9" max="9" width="18.28515625" style="71" bestFit="1" customWidth="1"/>
    <col min="10" max="16384" width="9.140625" style="70"/>
  </cols>
  <sheetData>
    <row r="2" spans="2:9" ht="25.5" customHeight="1" x14ac:dyDescent="0.25">
      <c r="B2" s="741" t="s">
        <v>537</v>
      </c>
      <c r="C2" s="741"/>
      <c r="D2" s="741"/>
      <c r="E2" s="741"/>
      <c r="F2" s="741"/>
      <c r="G2" s="453"/>
    </row>
    <row r="3" spans="2:9" x14ac:dyDescent="0.25">
      <c r="B3" s="279"/>
      <c r="C3" s="739" t="s">
        <v>179</v>
      </c>
      <c r="D3" s="739"/>
      <c r="E3" s="739" t="s">
        <v>177</v>
      </c>
      <c r="F3" s="739"/>
      <c r="G3" s="583"/>
    </row>
    <row r="4" spans="2:9" ht="18.600000000000001" customHeight="1" x14ac:dyDescent="0.25">
      <c r="B4" s="307" t="s">
        <v>536</v>
      </c>
      <c r="C4" s="738" t="e">
        <f>C5+C6+C7</f>
        <v>#DIV/0!</v>
      </c>
      <c r="D4" s="738"/>
      <c r="E4" s="738" t="e">
        <f>E5+E6+E7</f>
        <v>#DIV/0!</v>
      </c>
      <c r="F4" s="738"/>
      <c r="G4" s="584"/>
    </row>
    <row r="5" spans="2:9" x14ac:dyDescent="0.25">
      <c r="B5" s="273" t="s">
        <v>181</v>
      </c>
      <c r="C5" s="237" t="e">
        <f>($H$63-$H$17)</f>
        <v>#DIV/0!</v>
      </c>
      <c r="D5" s="258" t="e">
        <f>C5/$C$4</f>
        <v>#DIV/0!</v>
      </c>
      <c r="E5" s="237" t="e">
        <f>($I$63-$I$17)</f>
        <v>#DIV/0!</v>
      </c>
      <c r="F5" s="258" t="e">
        <f>E5/$E$4</f>
        <v>#DIV/0!</v>
      </c>
      <c r="G5" s="585"/>
    </row>
    <row r="6" spans="2:9" x14ac:dyDescent="0.25">
      <c r="B6" s="273" t="s">
        <v>170</v>
      </c>
      <c r="C6" s="237" t="e">
        <f>$D$93</f>
        <v>#DIV/0!</v>
      </c>
      <c r="D6" s="258" t="e">
        <f>C6/$C$4</f>
        <v>#DIV/0!</v>
      </c>
      <c r="E6" s="237" t="e">
        <f>$E$93</f>
        <v>#DIV/0!</v>
      </c>
      <c r="F6" s="258" t="e">
        <f>E6/$E$4</f>
        <v>#DIV/0!</v>
      </c>
      <c r="G6" s="585"/>
    </row>
    <row r="7" spans="2:9" x14ac:dyDescent="0.25">
      <c r="B7" s="273" t="s">
        <v>63</v>
      </c>
      <c r="C7" s="237">
        <f>'FE''s queima combustíveis'!$I$7</f>
        <v>0.43899999999999995</v>
      </c>
      <c r="D7" s="258" t="e">
        <f>C7/$C$4</f>
        <v>#DIV/0!</v>
      </c>
      <c r="E7" s="237">
        <f>'FE''s queima combustíveis'!$I$8</f>
        <v>0.66300000000000003</v>
      </c>
      <c r="F7" s="258" t="e">
        <f>E7/$E$4</f>
        <v>#DIV/0!</v>
      </c>
      <c r="G7" s="585"/>
    </row>
    <row r="9" spans="2:9" x14ac:dyDescent="0.25">
      <c r="B9" s="230"/>
      <c r="C9" s="255"/>
      <c r="D9" s="255"/>
      <c r="E9" s="255"/>
      <c r="F9" s="255"/>
      <c r="G9" s="255"/>
      <c r="H9" s="256"/>
      <c r="I9" s="257"/>
    </row>
    <row r="10" spans="2:9" x14ac:dyDescent="0.25">
      <c r="B10" s="230"/>
      <c r="C10" s="255"/>
      <c r="D10" s="255"/>
      <c r="E10" s="255"/>
      <c r="F10" s="255"/>
      <c r="G10" s="255"/>
      <c r="H10" s="256"/>
      <c r="I10" s="257"/>
    </row>
    <row r="11" spans="2:9" ht="18.75" x14ac:dyDescent="0.25">
      <c r="B11" s="737" t="s">
        <v>502</v>
      </c>
      <c r="C11" s="737"/>
      <c r="D11" s="737"/>
      <c r="E11" s="737"/>
      <c r="F11" s="737"/>
      <c r="G11" s="453"/>
      <c r="H11" s="740" t="s">
        <v>936</v>
      </c>
      <c r="I11" s="740" t="s">
        <v>937</v>
      </c>
    </row>
    <row r="12" spans="2:9" x14ac:dyDescent="0.25">
      <c r="B12" s="279" t="s">
        <v>495</v>
      </c>
      <c r="C12" s="412" t="s">
        <v>0</v>
      </c>
      <c r="D12" s="573" t="s">
        <v>929</v>
      </c>
      <c r="E12" s="412" t="s">
        <v>29</v>
      </c>
      <c r="F12" s="412" t="s">
        <v>330</v>
      </c>
      <c r="G12" s="583"/>
      <c r="H12" s="740"/>
      <c r="I12" s="740"/>
    </row>
    <row r="13" spans="2:9" s="71" customFormat="1" x14ac:dyDescent="0.25">
      <c r="B13" s="273" t="s">
        <v>45</v>
      </c>
      <c r="C13" s="273" t="s">
        <v>1</v>
      </c>
      <c r="D13" s="237">
        <f>E2G!D33*'Dados auxiliares'!$D$15</f>
        <v>0</v>
      </c>
      <c r="E13" s="237">
        <f>D13*'Dados auxiliares'!$F$15</f>
        <v>0</v>
      </c>
      <c r="F13" s="258" t="e">
        <f>E13/SUM($E$13:$E$15)</f>
        <v>#DIV/0!</v>
      </c>
      <c r="G13" s="585"/>
      <c r="H13" s="740"/>
      <c r="I13" s="740"/>
    </row>
    <row r="14" spans="2:9" x14ac:dyDescent="0.25">
      <c r="B14" s="273" t="s">
        <v>46</v>
      </c>
      <c r="C14" s="273" t="s">
        <v>1</v>
      </c>
      <c r="D14" s="237">
        <f>E2G!D34*'Dados auxiliares'!$D$16</f>
        <v>0</v>
      </c>
      <c r="E14" s="237">
        <f>D14*'Dados auxiliares'!$F$16</f>
        <v>0</v>
      </c>
      <c r="F14" s="258" t="e">
        <f>E14/SUM($E$13:$E$15)</f>
        <v>#DIV/0!</v>
      </c>
      <c r="G14" s="585"/>
      <c r="H14" s="740"/>
      <c r="I14" s="740"/>
    </row>
    <row r="15" spans="2:9" x14ac:dyDescent="0.25">
      <c r="B15" s="273" t="s">
        <v>496</v>
      </c>
      <c r="C15" s="273" t="s">
        <v>57</v>
      </c>
      <c r="D15" s="237">
        <f>E2G!D35</f>
        <v>0</v>
      </c>
      <c r="E15" s="237">
        <f>CONVERT(D15,"kWh","MJ")</f>
        <v>0</v>
      </c>
      <c r="F15" s="258" t="e">
        <f>E15/SUM($E$13:$E$15)</f>
        <v>#DIV/0!</v>
      </c>
      <c r="G15" s="585"/>
      <c r="H15" s="740"/>
      <c r="I15" s="740"/>
    </row>
    <row r="16" spans="2:9" ht="18" x14ac:dyDescent="0.25">
      <c r="B16" s="281" t="s">
        <v>58</v>
      </c>
      <c r="C16" s="412" t="s">
        <v>0</v>
      </c>
      <c r="D16" s="573" t="s">
        <v>929</v>
      </c>
      <c r="E16" s="282"/>
      <c r="F16" s="573" t="s">
        <v>833</v>
      </c>
      <c r="G16" s="272"/>
      <c r="H16" s="283" t="s">
        <v>535</v>
      </c>
      <c r="I16" s="283" t="s">
        <v>535</v>
      </c>
    </row>
    <row r="17" spans="1:9" x14ac:dyDescent="0.25">
      <c r="B17" s="273" t="s">
        <v>730</v>
      </c>
      <c r="C17" s="273" t="s">
        <v>138</v>
      </c>
      <c r="D17" s="308">
        <v>1</v>
      </c>
      <c r="E17" s="259"/>
      <c r="F17" s="407">
        <v>0</v>
      </c>
      <c r="G17" s="610"/>
      <c r="H17" s="294" t="e">
        <f>(F17/$E$13)*$F$13</f>
        <v>#DIV/0!</v>
      </c>
      <c r="I17" s="294" t="e">
        <f>(F17/$E$14)*$F$14</f>
        <v>#DIV/0!</v>
      </c>
    </row>
    <row r="18" spans="1:9" ht="18" x14ac:dyDescent="0.25">
      <c r="B18" s="273" t="s">
        <v>389</v>
      </c>
      <c r="C18" s="273" t="s">
        <v>506</v>
      </c>
      <c r="D18" s="278" t="e">
        <f>(E2G!$D$26*1-E2G!$G$26)*1000/E2G!$D$31</f>
        <v>#DIV/0!</v>
      </c>
      <c r="E18" s="259"/>
      <c r="F18" s="277">
        <v>0</v>
      </c>
      <c r="G18" s="544"/>
      <c r="H18" s="294" t="e">
        <f t="shared" ref="H18:H23" si="0">(F18/$E$13)*$F$13</f>
        <v>#DIV/0!</v>
      </c>
      <c r="I18" s="294" t="e">
        <f t="shared" ref="I18:I63" si="1">(F18/$E$14)*$F$14</f>
        <v>#DIV/0!</v>
      </c>
    </row>
    <row r="19" spans="1:9" x14ac:dyDescent="0.25">
      <c r="B19" s="273" t="s">
        <v>498</v>
      </c>
      <c r="C19" s="273" t="s">
        <v>47</v>
      </c>
      <c r="D19" s="278" t="e">
        <f>D18/1000*E2G!$D$27</f>
        <v>#DIV/0!</v>
      </c>
      <c r="E19" s="259"/>
      <c r="F19" s="278" t="e">
        <f>D19*'Dados auxiliares'!$H$131</f>
        <v>#DIV/0!</v>
      </c>
      <c r="G19" s="598"/>
      <c r="H19" s="294" t="e">
        <f t="shared" si="0"/>
        <v>#DIV/0!</v>
      </c>
      <c r="I19" s="294" t="e">
        <f t="shared" si="1"/>
        <v>#DIV/0!</v>
      </c>
    </row>
    <row r="20" spans="1:9" ht="18" x14ac:dyDescent="0.25">
      <c r="B20" s="273" t="s">
        <v>184</v>
      </c>
      <c r="C20" s="273" t="s">
        <v>506</v>
      </c>
      <c r="D20" s="278" t="e">
        <f>E2G!$D$28*1000/E2G!$D$31</f>
        <v>#DIV/0!</v>
      </c>
      <c r="E20" s="259"/>
      <c r="F20" s="278" t="e">
        <f>D20*'Dados auxiliares'!$H$78</f>
        <v>#DIV/0!</v>
      </c>
      <c r="G20" s="598"/>
      <c r="H20" s="294" t="e">
        <f t="shared" si="0"/>
        <v>#DIV/0!</v>
      </c>
      <c r="I20" s="294" t="e">
        <f t="shared" si="1"/>
        <v>#DIV/0!</v>
      </c>
    </row>
    <row r="21" spans="1:9" x14ac:dyDescent="0.25">
      <c r="B21" s="273" t="s">
        <v>499</v>
      </c>
      <c r="C21" s="273" t="s">
        <v>47</v>
      </c>
      <c r="D21" s="278" t="e">
        <f>D20/1000*E2G!$D$29</f>
        <v>#DIV/0!</v>
      </c>
      <c r="E21" s="259"/>
      <c r="F21" s="278" t="e">
        <f>D21*'Dados auxiliares'!$H$131</f>
        <v>#DIV/0!</v>
      </c>
      <c r="G21" s="598"/>
      <c r="H21" s="294" t="e">
        <f t="shared" si="0"/>
        <v>#DIV/0!</v>
      </c>
      <c r="I21" s="294" t="e">
        <f t="shared" si="1"/>
        <v>#DIV/0!</v>
      </c>
    </row>
    <row r="22" spans="1:9" x14ac:dyDescent="0.25">
      <c r="A22" s="263"/>
      <c r="B22" s="273" t="s">
        <v>20</v>
      </c>
      <c r="C22" s="273" t="s">
        <v>1</v>
      </c>
      <c r="D22" s="277">
        <v>4311.6885916272331</v>
      </c>
      <c r="E22" s="259"/>
      <c r="F22" s="278">
        <f>D22*'Dados auxiliares'!$H$83</f>
        <v>37.949639312499187</v>
      </c>
      <c r="G22" s="598"/>
      <c r="H22" s="294" t="e">
        <f t="shared" si="0"/>
        <v>#DIV/0!</v>
      </c>
      <c r="I22" s="294" t="e">
        <f t="shared" si="1"/>
        <v>#DIV/0!</v>
      </c>
    </row>
    <row r="23" spans="1:9" x14ac:dyDescent="0.25">
      <c r="A23" s="263"/>
      <c r="B23" s="273" t="s">
        <v>22</v>
      </c>
      <c r="C23" s="273" t="s">
        <v>1</v>
      </c>
      <c r="D23" s="277">
        <v>0.61908314763588068</v>
      </c>
      <c r="E23" s="259"/>
      <c r="F23" s="278">
        <f>D23*'Dados auxiliares'!$H$88</f>
        <v>67.702846168203138</v>
      </c>
      <c r="G23" s="598"/>
      <c r="H23" s="294" t="e">
        <f t="shared" si="0"/>
        <v>#DIV/0!</v>
      </c>
      <c r="I23" s="294" t="e">
        <f t="shared" si="1"/>
        <v>#DIV/0!</v>
      </c>
    </row>
    <row r="24" spans="1:9" x14ac:dyDescent="0.25">
      <c r="A24" s="263"/>
      <c r="B24" s="273" t="s">
        <v>176</v>
      </c>
      <c r="C24" s="273" t="s">
        <v>1</v>
      </c>
      <c r="D24" s="277">
        <v>3.7977109730580301</v>
      </c>
      <c r="E24" s="259"/>
      <c r="F24" s="278">
        <f>D24*'Dados auxiliares'!$H$95</f>
        <v>11618.480177121233</v>
      </c>
      <c r="G24" s="598"/>
      <c r="H24" s="294" t="e">
        <f t="shared" ref="H24" si="2">(F24/$E$13)*$F$13</f>
        <v>#DIV/0!</v>
      </c>
      <c r="I24" s="294" t="e">
        <f t="shared" si="1"/>
        <v>#DIV/0!</v>
      </c>
    </row>
    <row r="25" spans="1:9" x14ac:dyDescent="0.25">
      <c r="A25" s="263"/>
      <c r="B25" s="273" t="s">
        <v>25</v>
      </c>
      <c r="C25" s="273" t="s">
        <v>1</v>
      </c>
      <c r="D25" s="292">
        <v>2.8199479845661701E-3</v>
      </c>
      <c r="E25" s="259"/>
      <c r="F25" s="278">
        <f>D25*'Dados auxiliares'!$H$92</f>
        <v>6.0654176499580732</v>
      </c>
      <c r="G25" s="598"/>
      <c r="H25" s="294" t="e">
        <f t="shared" ref="H25:H30" si="3">(F25/$E$13)*$F$13</f>
        <v>#DIV/0!</v>
      </c>
      <c r="I25" s="294" t="e">
        <f t="shared" si="1"/>
        <v>#DIV/0!</v>
      </c>
    </row>
    <row r="26" spans="1:9" x14ac:dyDescent="0.25">
      <c r="A26" s="263"/>
      <c r="B26" s="273" t="s">
        <v>27</v>
      </c>
      <c r="C26" s="273" t="s">
        <v>1</v>
      </c>
      <c r="D26" s="292">
        <f>(0.4464/1000)*D13</f>
        <v>0</v>
      </c>
      <c r="E26" s="259"/>
      <c r="F26" s="278">
        <f>D26*'Dados auxiliares'!$H$94</f>
        <v>0</v>
      </c>
      <c r="G26" s="598"/>
      <c r="H26" s="294" t="e">
        <f t="shared" si="3"/>
        <v>#DIV/0!</v>
      </c>
      <c r="I26" s="294" t="e">
        <f t="shared" si="1"/>
        <v>#DIV/0!</v>
      </c>
    </row>
    <row r="27" spans="1:9" x14ac:dyDescent="0.25">
      <c r="A27" s="263"/>
      <c r="B27" s="273" t="s">
        <v>162</v>
      </c>
      <c r="C27" s="273" t="s">
        <v>1</v>
      </c>
      <c r="D27" s="353">
        <f>E2G!D38</f>
        <v>0</v>
      </c>
      <c r="E27" s="259"/>
      <c r="F27" s="278">
        <f>D27*'Dados auxiliares'!$H$99</f>
        <v>0</v>
      </c>
      <c r="G27" s="598"/>
      <c r="H27" s="294" t="e">
        <f t="shared" si="3"/>
        <v>#DIV/0!</v>
      </c>
      <c r="I27" s="294" t="e">
        <f t="shared" si="1"/>
        <v>#DIV/0!</v>
      </c>
    </row>
    <row r="28" spans="1:9" x14ac:dyDescent="0.25">
      <c r="A28" s="263"/>
      <c r="B28" s="273" t="s">
        <v>22</v>
      </c>
      <c r="C28" s="273" t="s">
        <v>1</v>
      </c>
      <c r="D28" s="353">
        <f>E2G!D39</f>
        <v>0</v>
      </c>
      <c r="E28" s="259"/>
      <c r="F28" s="278">
        <f>D28*'Dados auxiliares'!$H$88</f>
        <v>0</v>
      </c>
      <c r="G28" s="598"/>
      <c r="H28" s="294" t="e">
        <f t="shared" si="3"/>
        <v>#DIV/0!</v>
      </c>
      <c r="I28" s="294" t="e">
        <f t="shared" si="1"/>
        <v>#DIV/0!</v>
      </c>
    </row>
    <row r="29" spans="1:9" x14ac:dyDescent="0.25">
      <c r="A29" s="263"/>
      <c r="B29" s="273" t="s">
        <v>176</v>
      </c>
      <c r="C29" s="273" t="s">
        <v>1</v>
      </c>
      <c r="D29" s="353">
        <f>E2G!D40</f>
        <v>0</v>
      </c>
      <c r="E29" s="259"/>
      <c r="F29" s="278">
        <f>D29*'Dados auxiliares'!$H$95</f>
        <v>0</v>
      </c>
      <c r="G29" s="598"/>
      <c r="H29" s="294" t="e">
        <f t="shared" si="3"/>
        <v>#DIV/0!</v>
      </c>
      <c r="I29" s="294" t="e">
        <f t="shared" si="1"/>
        <v>#DIV/0!</v>
      </c>
    </row>
    <row r="30" spans="1:9" x14ac:dyDescent="0.25">
      <c r="A30" s="263"/>
      <c r="B30" s="273" t="s">
        <v>85</v>
      </c>
      <c r="C30" s="273" t="s">
        <v>1</v>
      </c>
      <c r="D30" s="353">
        <f>E2G!D41</f>
        <v>0</v>
      </c>
      <c r="E30" s="259"/>
      <c r="F30" s="278">
        <f>D30*'Dados auxiliares'!$H$97</f>
        <v>0</v>
      </c>
      <c r="G30" s="598"/>
      <c r="H30" s="294" t="e">
        <f t="shared" si="3"/>
        <v>#DIV/0!</v>
      </c>
      <c r="I30" s="294" t="e">
        <f t="shared" si="1"/>
        <v>#DIV/0!</v>
      </c>
    </row>
    <row r="31" spans="1:9" x14ac:dyDescent="0.25">
      <c r="A31" s="263"/>
      <c r="B31" s="284" t="s">
        <v>243</v>
      </c>
      <c r="C31" s="285"/>
      <c r="D31" s="285"/>
      <c r="E31" s="288"/>
      <c r="F31" s="289"/>
      <c r="G31" s="593"/>
      <c r="H31" s="289"/>
      <c r="I31" s="289"/>
    </row>
    <row r="32" spans="1:9" ht="18" x14ac:dyDescent="0.25">
      <c r="B32" s="273" t="s">
        <v>389</v>
      </c>
      <c r="C32" s="273" t="s">
        <v>506</v>
      </c>
      <c r="D32" s="278">
        <f>E2G!$D$46*(1-E2G!$D$47)</f>
        <v>0</v>
      </c>
      <c r="E32" s="259"/>
      <c r="F32" s="277">
        <v>0</v>
      </c>
      <c r="G32" s="544"/>
      <c r="H32" s="294" t="e">
        <f t="shared" ref="H32:H40" si="4">(F32/$E$13)*$F$13</f>
        <v>#DIV/0!</v>
      </c>
      <c r="I32" s="294" t="e">
        <f t="shared" si="1"/>
        <v>#DIV/0!</v>
      </c>
    </row>
    <row r="33" spans="2:9" x14ac:dyDescent="0.25">
      <c r="B33" s="273" t="s">
        <v>498</v>
      </c>
      <c r="C33" s="273" t="s">
        <v>47</v>
      </c>
      <c r="D33" s="278">
        <f>((D32/1000)*E2G!$D$48)</f>
        <v>0</v>
      </c>
      <c r="E33" s="259"/>
      <c r="F33" s="278">
        <f>D33*'Dados auxiliares'!$H$131</f>
        <v>0</v>
      </c>
      <c r="G33" s="598"/>
      <c r="H33" s="294" t="e">
        <f t="shared" si="4"/>
        <v>#DIV/0!</v>
      </c>
      <c r="I33" s="294" t="e">
        <f t="shared" si="1"/>
        <v>#DIV/0!</v>
      </c>
    </row>
    <row r="34" spans="2:9" ht="18" x14ac:dyDescent="0.25">
      <c r="B34" s="273" t="s">
        <v>184</v>
      </c>
      <c r="C34" s="273" t="s">
        <v>506</v>
      </c>
      <c r="D34" s="278">
        <f>E2G!$D$51*(1-E2G!$D$52)</f>
        <v>0</v>
      </c>
      <c r="E34" s="259"/>
      <c r="F34" s="278">
        <f>D34*'Dados auxiliares'!$H$78</f>
        <v>0</v>
      </c>
      <c r="G34" s="598"/>
      <c r="H34" s="294" t="e">
        <f t="shared" si="4"/>
        <v>#DIV/0!</v>
      </c>
      <c r="I34" s="294" t="e">
        <f t="shared" si="1"/>
        <v>#DIV/0!</v>
      </c>
    </row>
    <row r="35" spans="2:9" x14ac:dyDescent="0.25">
      <c r="B35" s="273" t="s">
        <v>499</v>
      </c>
      <c r="C35" s="273" t="s">
        <v>47</v>
      </c>
      <c r="D35" s="278">
        <f>((D34/1000)*E2G!$D$53)</f>
        <v>0</v>
      </c>
      <c r="E35" s="259"/>
      <c r="F35" s="278">
        <f>D35*'Dados auxiliares'!$H$131</f>
        <v>0</v>
      </c>
      <c r="G35" s="598"/>
      <c r="H35" s="294" t="e">
        <f t="shared" si="4"/>
        <v>#DIV/0!</v>
      </c>
      <c r="I35" s="294" t="e">
        <f t="shared" si="1"/>
        <v>#DIV/0!</v>
      </c>
    </row>
    <row r="36" spans="2:9" ht="18" x14ac:dyDescent="0.25">
      <c r="B36" s="273" t="s">
        <v>106</v>
      </c>
      <c r="C36" s="273" t="s">
        <v>506</v>
      </c>
      <c r="D36" s="278">
        <f>E2G!$D$56*(1-E2G!$D$57)</f>
        <v>0</v>
      </c>
      <c r="E36" s="259"/>
      <c r="F36" s="278">
        <f>D36*'Dados auxiliares'!$H$123</f>
        <v>0</v>
      </c>
      <c r="G36" s="598"/>
      <c r="H36" s="294" t="e">
        <f t="shared" si="4"/>
        <v>#DIV/0!</v>
      </c>
      <c r="I36" s="294" t="e">
        <f t="shared" si="1"/>
        <v>#DIV/0!</v>
      </c>
    </row>
    <row r="37" spans="2:9" x14ac:dyDescent="0.25">
      <c r="B37" s="273" t="s">
        <v>500</v>
      </c>
      <c r="C37" s="273" t="s">
        <v>47</v>
      </c>
      <c r="D37" s="278">
        <f>((D36/1000)*E2G!$D$58)</f>
        <v>0</v>
      </c>
      <c r="E37" s="259"/>
      <c r="F37" s="278">
        <f>D37*'Dados auxiliares'!$H$131</f>
        <v>0</v>
      </c>
      <c r="G37" s="598"/>
      <c r="H37" s="294" t="e">
        <f t="shared" si="4"/>
        <v>#DIV/0!</v>
      </c>
      <c r="I37" s="294" t="e">
        <f t="shared" si="1"/>
        <v>#DIV/0!</v>
      </c>
    </row>
    <row r="38" spans="2:9" ht="18" x14ac:dyDescent="0.25">
      <c r="B38" s="273" t="s">
        <v>347</v>
      </c>
      <c r="C38" s="273" t="s">
        <v>506</v>
      </c>
      <c r="D38" s="278">
        <f>E2G!$D$61*(1-E2G!$D$62)</f>
        <v>0</v>
      </c>
      <c r="E38" s="259"/>
      <c r="F38" s="278">
        <f>D38*'Dados auxiliares'!$H$124</f>
        <v>0</v>
      </c>
      <c r="G38" s="598"/>
      <c r="H38" s="294" t="e">
        <f t="shared" si="4"/>
        <v>#DIV/0!</v>
      </c>
      <c r="I38" s="294" t="e">
        <f t="shared" si="1"/>
        <v>#DIV/0!</v>
      </c>
    </row>
    <row r="39" spans="2:9" x14ac:dyDescent="0.25">
      <c r="B39" s="273" t="s">
        <v>503</v>
      </c>
      <c r="C39" s="273" t="s">
        <v>47</v>
      </c>
      <c r="D39" s="278">
        <f>((D38/1000)*E2G!$D$63)</f>
        <v>0</v>
      </c>
      <c r="E39" s="259"/>
      <c r="F39" s="278">
        <f>D39*'Dados auxiliares'!$H$131</f>
        <v>0</v>
      </c>
      <c r="G39" s="598"/>
      <c r="H39" s="294" t="e">
        <f t="shared" si="4"/>
        <v>#DIV/0!</v>
      </c>
      <c r="I39" s="294" t="e">
        <f t="shared" si="1"/>
        <v>#DIV/0!</v>
      </c>
    </row>
    <row r="40" spans="2:9" ht="18" x14ac:dyDescent="0.25">
      <c r="B40" s="273" t="s">
        <v>466</v>
      </c>
      <c r="C40" s="273" t="s">
        <v>506</v>
      </c>
      <c r="D40" s="278">
        <f>E2G!$D$66*(1-E2G!$D$67)</f>
        <v>0</v>
      </c>
      <c r="E40" s="259"/>
      <c r="F40" s="277">
        <v>0</v>
      </c>
      <c r="G40" s="544"/>
      <c r="H40" s="294" t="e">
        <f t="shared" si="4"/>
        <v>#DIV/0!</v>
      </c>
      <c r="I40" s="294" t="e">
        <f t="shared" si="1"/>
        <v>#DIV/0!</v>
      </c>
    </row>
    <row r="41" spans="2:9" x14ac:dyDescent="0.25">
      <c r="B41" s="273" t="s">
        <v>504</v>
      </c>
      <c r="C41" s="273" t="s">
        <v>47</v>
      </c>
      <c r="D41" s="278">
        <f>((D40/1000)*E2G!$D$68)</f>
        <v>0</v>
      </c>
      <c r="E41" s="259"/>
      <c r="F41" s="278">
        <f>D41*'Dados auxiliares'!$H$131</f>
        <v>0</v>
      </c>
      <c r="G41" s="598"/>
      <c r="H41" s="294" t="e">
        <f>(F41/$E$13)*$F$13</f>
        <v>#DIV/0!</v>
      </c>
      <c r="I41" s="294" t="e">
        <f t="shared" si="1"/>
        <v>#DIV/0!</v>
      </c>
    </row>
    <row r="42" spans="2:9" x14ac:dyDescent="0.25">
      <c r="B42" s="273" t="s">
        <v>851</v>
      </c>
      <c r="C42" s="273" t="s">
        <v>1</v>
      </c>
      <c r="D42" s="278">
        <f>E2G!D70*'Dados auxiliares'!$D$30</f>
        <v>0</v>
      </c>
      <c r="E42" s="259"/>
      <c r="F42" s="278">
        <f>D42*'Dados auxiliares'!$H$126</f>
        <v>0</v>
      </c>
      <c r="G42" s="598"/>
      <c r="H42" s="294" t="e">
        <f>(F42/$E$13)*$F$13</f>
        <v>#DIV/0!</v>
      </c>
      <c r="I42" s="294" t="e">
        <f>(F42/$E$14)*$F$14</f>
        <v>#DIV/0!</v>
      </c>
    </row>
    <row r="43" spans="2:9" x14ac:dyDescent="0.25">
      <c r="B43" s="273" t="s">
        <v>923</v>
      </c>
      <c r="C43" s="273" t="s">
        <v>169</v>
      </c>
      <c r="D43" s="278">
        <f>E2G!D74</f>
        <v>0</v>
      </c>
      <c r="E43" s="259"/>
      <c r="F43" s="278">
        <f>D43*E2G!G74*'Dados auxiliares'!$H$125</f>
        <v>0</v>
      </c>
      <c r="G43" s="598"/>
      <c r="H43" s="294" t="e">
        <f t="shared" ref="H43:H48" si="5">(F43/$E$13)*$F$13</f>
        <v>#DIV/0!</v>
      </c>
      <c r="I43" s="294" t="e">
        <f t="shared" ref="I43:I48" si="6">(F43/$E$14)*$F$14</f>
        <v>#DIV/0!</v>
      </c>
    </row>
    <row r="44" spans="2:9" x14ac:dyDescent="0.25">
      <c r="B44" s="273" t="s">
        <v>376</v>
      </c>
      <c r="C44" s="273" t="s">
        <v>57</v>
      </c>
      <c r="D44" s="278">
        <f>E2G!D75</f>
        <v>0</v>
      </c>
      <c r="E44" s="259"/>
      <c r="F44" s="278">
        <f>D44*'Dados auxiliares'!$H$107</f>
        <v>0</v>
      </c>
      <c r="G44" s="598"/>
      <c r="H44" s="294" t="e">
        <f t="shared" si="5"/>
        <v>#DIV/0!</v>
      </c>
      <c r="I44" s="294" t="e">
        <f t="shared" si="6"/>
        <v>#DIV/0!</v>
      </c>
    </row>
    <row r="45" spans="2:9" x14ac:dyDescent="0.25">
      <c r="B45" s="273" t="s">
        <v>375</v>
      </c>
      <c r="C45" s="273" t="s">
        <v>57</v>
      </c>
      <c r="D45" s="278">
        <f>E2G!D76</f>
        <v>0</v>
      </c>
      <c r="E45" s="259"/>
      <c r="F45" s="278">
        <f>D45*'Dados auxiliares'!$H$108</f>
        <v>0</v>
      </c>
      <c r="G45" s="598"/>
      <c r="H45" s="294" t="e">
        <f t="shared" si="5"/>
        <v>#DIV/0!</v>
      </c>
      <c r="I45" s="294" t="e">
        <f t="shared" si="6"/>
        <v>#DIV/0!</v>
      </c>
    </row>
    <row r="46" spans="2:9" x14ac:dyDescent="0.25">
      <c r="B46" s="273" t="s">
        <v>372</v>
      </c>
      <c r="C46" s="273" t="s">
        <v>57</v>
      </c>
      <c r="D46" s="278">
        <f>E2G!D77</f>
        <v>0</v>
      </c>
      <c r="E46" s="259"/>
      <c r="F46" s="278">
        <f>D46*'Dados auxiliares'!$H$109</f>
        <v>0</v>
      </c>
      <c r="G46" s="598"/>
      <c r="H46" s="294" t="e">
        <f t="shared" si="5"/>
        <v>#DIV/0!</v>
      </c>
      <c r="I46" s="294" t="e">
        <f t="shared" si="6"/>
        <v>#DIV/0!</v>
      </c>
    </row>
    <row r="47" spans="2:9" x14ac:dyDescent="0.25">
      <c r="B47" s="273" t="s">
        <v>373</v>
      </c>
      <c r="C47" s="273" t="s">
        <v>57</v>
      </c>
      <c r="D47" s="278">
        <f>E2G!D78</f>
        <v>0</v>
      </c>
      <c r="E47" s="259"/>
      <c r="F47" s="278">
        <f>D47*'Dados auxiliares'!$H$110</f>
        <v>0</v>
      </c>
      <c r="G47" s="598"/>
      <c r="H47" s="294" t="e">
        <f t="shared" si="5"/>
        <v>#DIV/0!</v>
      </c>
      <c r="I47" s="294" t="e">
        <f t="shared" si="6"/>
        <v>#DIV/0!</v>
      </c>
    </row>
    <row r="48" spans="2:9" x14ac:dyDescent="0.25">
      <c r="B48" s="273" t="s">
        <v>374</v>
      </c>
      <c r="C48" s="273" t="s">
        <v>57</v>
      </c>
      <c r="D48" s="278">
        <f>E2G!D79</f>
        <v>0</v>
      </c>
      <c r="E48" s="259"/>
      <c r="F48" s="278">
        <f>D48*'Dados auxiliares'!$H$111</f>
        <v>0</v>
      </c>
      <c r="G48" s="598"/>
      <c r="H48" s="294" t="e">
        <f t="shared" si="5"/>
        <v>#DIV/0!</v>
      </c>
      <c r="I48" s="294" t="e">
        <f t="shared" si="6"/>
        <v>#DIV/0!</v>
      </c>
    </row>
    <row r="49" spans="1:10" ht="18" x14ac:dyDescent="0.25">
      <c r="A49" s="230"/>
      <c r="B49" s="283" t="s">
        <v>52</v>
      </c>
      <c r="C49" s="412" t="s">
        <v>0</v>
      </c>
      <c r="D49" s="283" t="s">
        <v>929</v>
      </c>
      <c r="E49" s="283"/>
      <c r="F49" s="283" t="s">
        <v>508</v>
      </c>
      <c r="G49" s="272"/>
      <c r="H49" s="283" t="s">
        <v>535</v>
      </c>
      <c r="I49" s="283" t="s">
        <v>535</v>
      </c>
      <c r="J49" s="264"/>
    </row>
    <row r="50" spans="1:10" x14ac:dyDescent="0.25">
      <c r="A50" s="299"/>
      <c r="B50" s="273" t="s">
        <v>516</v>
      </c>
      <c r="C50" s="273" t="s">
        <v>1</v>
      </c>
      <c r="D50" s="278">
        <f>$D$32*'FE''s queima combustíveis'!$I$36/1000</f>
        <v>0</v>
      </c>
      <c r="E50" s="259"/>
      <c r="F50" s="238">
        <f t="shared" ref="F50:F58" si="7">D50*1000</f>
        <v>0</v>
      </c>
      <c r="G50" s="590"/>
      <c r="H50" s="294" t="e">
        <f>(F50/$E$13)*$F$13</f>
        <v>#DIV/0!</v>
      </c>
      <c r="I50" s="294" t="e">
        <f t="shared" si="1"/>
        <v>#DIV/0!</v>
      </c>
    </row>
    <row r="51" spans="1:10" x14ac:dyDescent="0.25">
      <c r="A51" s="299"/>
      <c r="B51" s="273" t="s">
        <v>517</v>
      </c>
      <c r="C51" s="273" t="s">
        <v>1</v>
      </c>
      <c r="D51" s="278">
        <f>$D$34*'FE''s queima combustíveis'!$I$37/1000</f>
        <v>0</v>
      </c>
      <c r="E51" s="259"/>
      <c r="F51" s="238">
        <f t="shared" si="7"/>
        <v>0</v>
      </c>
      <c r="G51" s="590"/>
      <c r="H51" s="294" t="e">
        <f>(F51/$E$13)*$F$13</f>
        <v>#DIV/0!</v>
      </c>
      <c r="I51" s="294" t="e">
        <f t="shared" si="1"/>
        <v>#DIV/0!</v>
      </c>
    </row>
    <row r="52" spans="1:10" x14ac:dyDescent="0.25">
      <c r="A52" s="299"/>
      <c r="B52" s="273" t="s">
        <v>520</v>
      </c>
      <c r="C52" s="273" t="s">
        <v>1</v>
      </c>
      <c r="D52" s="278">
        <f>$D$36*'FE''s queima combustíveis'!$I$38/1000</f>
        <v>0</v>
      </c>
      <c r="E52" s="259"/>
      <c r="F52" s="238">
        <f t="shared" si="7"/>
        <v>0</v>
      </c>
      <c r="G52" s="590"/>
      <c r="H52" s="294" t="e">
        <f>(F52/$E$13)*$F$13</f>
        <v>#DIV/0!</v>
      </c>
      <c r="I52" s="294" t="e">
        <f t="shared" si="1"/>
        <v>#DIV/0!</v>
      </c>
    </row>
    <row r="53" spans="1:10" x14ac:dyDescent="0.25">
      <c r="A53" s="299"/>
      <c r="B53" s="273" t="s">
        <v>518</v>
      </c>
      <c r="C53" s="273" t="s">
        <v>1</v>
      </c>
      <c r="D53" s="278">
        <f>$D$38*'FE''s queima combustíveis'!$I$39/1000</f>
        <v>0</v>
      </c>
      <c r="E53" s="259"/>
      <c r="F53" s="238">
        <f t="shared" si="7"/>
        <v>0</v>
      </c>
      <c r="G53" s="590"/>
      <c r="H53" s="294" t="e">
        <f>(F53/$E$13)*$F$13</f>
        <v>#DIV/0!</v>
      </c>
      <c r="I53" s="294" t="e">
        <f t="shared" si="1"/>
        <v>#DIV/0!</v>
      </c>
    </row>
    <row r="54" spans="1:10" x14ac:dyDescent="0.25">
      <c r="A54" s="299"/>
      <c r="B54" s="273" t="s">
        <v>519</v>
      </c>
      <c r="C54" s="273" t="s">
        <v>1</v>
      </c>
      <c r="D54" s="278">
        <f>$D$40*'FE''s queima combustíveis'!$I$40/1000</f>
        <v>0</v>
      </c>
      <c r="E54" s="259"/>
      <c r="F54" s="238">
        <f t="shared" si="7"/>
        <v>0</v>
      </c>
      <c r="G54" s="590"/>
      <c r="H54" s="294" t="e">
        <f>(F54/$E$13)*$F$13</f>
        <v>#DIV/0!</v>
      </c>
      <c r="I54" s="294" t="e">
        <f t="shared" si="1"/>
        <v>#DIV/0!</v>
      </c>
    </row>
    <row r="55" spans="1:10" x14ac:dyDescent="0.25">
      <c r="A55" s="299"/>
      <c r="B55" s="273" t="s">
        <v>848</v>
      </c>
      <c r="C55" s="273" t="s">
        <v>1</v>
      </c>
      <c r="D55" s="278">
        <f>D42*'FE''s queima combustíveis'!$I$53/1000</f>
        <v>0</v>
      </c>
      <c r="E55" s="259"/>
      <c r="F55" s="238">
        <f t="shared" si="7"/>
        <v>0</v>
      </c>
      <c r="G55" s="590"/>
      <c r="H55" s="294" t="e">
        <f t="shared" ref="H55:H59" si="8">(F55/$E$13)*$F$13</f>
        <v>#DIV/0!</v>
      </c>
      <c r="I55" s="294" t="e">
        <f t="shared" ref="I55:I59" si="9">(F55/$E$14)*$F$14</f>
        <v>#DIV/0!</v>
      </c>
    </row>
    <row r="56" spans="1:10" x14ac:dyDescent="0.25">
      <c r="A56" s="299"/>
      <c r="B56" s="273" t="s">
        <v>849</v>
      </c>
      <c r="C56" s="273" t="s">
        <v>1</v>
      </c>
      <c r="D56" s="278">
        <f>E2G!D71*'Dados auxiliares'!$D$16*'FE''s queima combustíveis'!$I$57/1000</f>
        <v>0</v>
      </c>
      <c r="E56" s="259"/>
      <c r="F56" s="238">
        <f t="shared" si="7"/>
        <v>0</v>
      </c>
      <c r="G56" s="590"/>
      <c r="H56" s="294" t="e">
        <f t="shared" si="8"/>
        <v>#DIV/0!</v>
      </c>
      <c r="I56" s="294" t="e">
        <f t="shared" si="9"/>
        <v>#DIV/0!</v>
      </c>
    </row>
    <row r="57" spans="1:10" x14ac:dyDescent="0.25">
      <c r="A57" s="299"/>
      <c r="B57" s="273" t="s">
        <v>850</v>
      </c>
      <c r="C57" s="273" t="s">
        <v>1</v>
      </c>
      <c r="D57" s="278">
        <f>E2G!D72*'Dados auxiliares'!$D$15*'FE''s queima combustíveis'!$I$55/1000</f>
        <v>0</v>
      </c>
      <c r="E57" s="259"/>
      <c r="F57" s="238">
        <f t="shared" si="7"/>
        <v>0</v>
      </c>
      <c r="G57" s="590"/>
      <c r="H57" s="294" t="e">
        <f t="shared" si="8"/>
        <v>#DIV/0!</v>
      </c>
      <c r="I57" s="294" t="e">
        <f t="shared" si="9"/>
        <v>#DIV/0!</v>
      </c>
    </row>
    <row r="58" spans="1:10" x14ac:dyDescent="0.25">
      <c r="A58" s="299"/>
      <c r="B58" s="273" t="s">
        <v>925</v>
      </c>
      <c r="C58" s="273" t="s">
        <v>1</v>
      </c>
      <c r="D58" s="278">
        <f>E2G!D73*E2G!G73*'FE''s queima combustíveis'!$I$41/1000</f>
        <v>0</v>
      </c>
      <c r="E58" s="259"/>
      <c r="F58" s="238">
        <f t="shared" si="7"/>
        <v>0</v>
      </c>
      <c r="G58" s="590"/>
      <c r="H58" s="294" t="e">
        <f t="shared" si="8"/>
        <v>#DIV/0!</v>
      </c>
      <c r="I58" s="294" t="e">
        <f t="shared" si="9"/>
        <v>#DIV/0!</v>
      </c>
    </row>
    <row r="59" spans="1:10" x14ac:dyDescent="0.25">
      <c r="A59" s="299"/>
      <c r="B59" s="273" t="s">
        <v>926</v>
      </c>
      <c r="C59" s="273" t="s">
        <v>1</v>
      </c>
      <c r="D59" s="278">
        <f>E2G!D74*E2G!G74*'FE''s queima combustíveis'!$I$41/1000</f>
        <v>0</v>
      </c>
      <c r="E59" s="259"/>
      <c r="F59" s="238">
        <f>D59*1000</f>
        <v>0</v>
      </c>
      <c r="G59" s="590"/>
      <c r="H59" s="294" t="e">
        <f t="shared" si="8"/>
        <v>#DIV/0!</v>
      </c>
      <c r="I59" s="294" t="e">
        <f t="shared" si="9"/>
        <v>#DIV/0!</v>
      </c>
    </row>
    <row r="60" spans="1:10" ht="6" customHeight="1" x14ac:dyDescent="0.25">
      <c r="A60" s="268"/>
      <c r="B60" s="163"/>
      <c r="C60" s="163"/>
      <c r="D60" s="260"/>
      <c r="E60" s="269"/>
      <c r="F60" s="270"/>
      <c r="G60" s="599"/>
      <c r="H60" s="260"/>
      <c r="I60" s="265"/>
    </row>
    <row r="61" spans="1:10" ht="18" x14ac:dyDescent="0.25">
      <c r="A61" s="268"/>
      <c r="B61" s="276" t="s">
        <v>54</v>
      </c>
      <c r="C61" s="611" t="s">
        <v>832</v>
      </c>
      <c r="D61" s="241"/>
      <c r="E61" s="275"/>
      <c r="F61" s="290">
        <f>SUM(F50:F59)</f>
        <v>0</v>
      </c>
      <c r="G61" s="597"/>
      <c r="H61" s="290" t="e">
        <f>(F61/$E$13)*$F$13</f>
        <v>#DIV/0!</v>
      </c>
      <c r="I61" s="290" t="e">
        <f t="shared" si="1"/>
        <v>#DIV/0!</v>
      </c>
    </row>
    <row r="62" spans="1:10" ht="18" customHeight="1" x14ac:dyDescent="0.25">
      <c r="A62" s="240"/>
      <c r="B62" s="276" t="s">
        <v>61</v>
      </c>
      <c r="C62" s="611" t="s">
        <v>832</v>
      </c>
      <c r="D62" s="241"/>
      <c r="E62" s="275"/>
      <c r="F62" s="290" t="e">
        <f>SUM(F17:F48)</f>
        <v>#DIV/0!</v>
      </c>
      <c r="G62" s="597"/>
      <c r="H62" s="290" t="e">
        <f>(F62/$E$13)*$F$13</f>
        <v>#DIV/0!</v>
      </c>
      <c r="I62" s="290" t="e">
        <f t="shared" si="1"/>
        <v>#DIV/0!</v>
      </c>
    </row>
    <row r="63" spans="1:10" ht="18" x14ac:dyDescent="0.25">
      <c r="B63" s="276" t="s">
        <v>55</v>
      </c>
      <c r="C63" s="611" t="s">
        <v>832</v>
      </c>
      <c r="D63" s="241"/>
      <c r="E63" s="275"/>
      <c r="F63" s="290" t="e">
        <f>F61+F62</f>
        <v>#DIV/0!</v>
      </c>
      <c r="G63" s="597"/>
      <c r="H63" s="290" t="e">
        <f>(F63/$E$13)*$F$13</f>
        <v>#DIV/0!</v>
      </c>
      <c r="I63" s="290" t="e">
        <f t="shared" si="1"/>
        <v>#DIV/0!</v>
      </c>
    </row>
    <row r="64" spans="1:10" x14ac:dyDescent="0.25">
      <c r="B64" s="166"/>
      <c r="C64" s="254"/>
      <c r="D64" s="260"/>
      <c r="E64" s="266"/>
      <c r="F64" s="159"/>
      <c r="G64" s="159"/>
      <c r="H64" s="260"/>
      <c r="I64" s="262"/>
    </row>
    <row r="65" spans="2:10" s="71" customFormat="1" x14ac:dyDescent="0.25">
      <c r="B65" s="231"/>
      <c r="C65" s="231"/>
      <c r="D65" s="231"/>
      <c r="E65" s="271"/>
      <c r="F65" s="272"/>
      <c r="G65" s="272"/>
      <c r="H65" s="249"/>
      <c r="I65" s="250"/>
    </row>
    <row r="66" spans="2:10" s="71" customFormat="1" ht="18.75" x14ac:dyDescent="0.25">
      <c r="B66" s="737" t="s">
        <v>524</v>
      </c>
      <c r="C66" s="737"/>
      <c r="D66" s="737"/>
      <c r="E66" s="737"/>
      <c r="F66" s="737"/>
      <c r="G66" s="453"/>
      <c r="H66" s="249"/>
      <c r="I66" s="250"/>
    </row>
    <row r="67" spans="2:10" s="71" customFormat="1" x14ac:dyDescent="0.25">
      <c r="B67" s="573" t="s">
        <v>904</v>
      </c>
      <c r="C67" s="412"/>
      <c r="D67" s="412"/>
      <c r="E67" s="412"/>
      <c r="F67" s="412"/>
      <c r="G67" s="583"/>
      <c r="H67" s="249"/>
      <c r="I67" s="250"/>
    </row>
    <row r="68" spans="2:10" s="71" customFormat="1" x14ac:dyDescent="0.25">
      <c r="B68" s="300" t="s">
        <v>529</v>
      </c>
      <c r="C68" s="300" t="s">
        <v>0</v>
      </c>
      <c r="D68" s="300" t="s">
        <v>45</v>
      </c>
      <c r="E68" s="300" t="s">
        <v>46</v>
      </c>
      <c r="F68" s="300"/>
      <c r="G68" s="600"/>
      <c r="H68"/>
      <c r="I68"/>
      <c r="J68"/>
    </row>
    <row r="69" spans="2:10" s="71" customFormat="1" ht="18" x14ac:dyDescent="0.25">
      <c r="B69" s="273" t="s">
        <v>525</v>
      </c>
      <c r="C69" s="611" t="s">
        <v>834</v>
      </c>
      <c r="D69" s="607">
        <f>$D$13*E2G!$D$85</f>
        <v>0</v>
      </c>
      <c r="E69" s="607">
        <f>$D$14*E2G!$D$91</f>
        <v>0</v>
      </c>
      <c r="F69" s="607"/>
      <c r="G69" s="598"/>
      <c r="H69"/>
      <c r="I69"/>
      <c r="J69"/>
    </row>
    <row r="70" spans="2:10" s="71" customFormat="1" x14ac:dyDescent="0.25">
      <c r="B70" s="273" t="s">
        <v>531</v>
      </c>
      <c r="C70" s="94" t="s">
        <v>258</v>
      </c>
      <c r="D70" s="608">
        <f>'Dados auxiliares'!C155</f>
        <v>700</v>
      </c>
      <c r="E70" s="608">
        <f>'Dados auxiliares'!C155</f>
        <v>700</v>
      </c>
      <c r="F70" s="608"/>
      <c r="G70" s="544"/>
      <c r="H70"/>
      <c r="I70"/>
      <c r="J70"/>
    </row>
    <row r="71" spans="2:10" s="71" customFormat="1" ht="18" x14ac:dyDescent="0.25">
      <c r="B71" s="273" t="s">
        <v>528</v>
      </c>
      <c r="C71" s="611" t="s">
        <v>835</v>
      </c>
      <c r="D71" s="607">
        <f>D69/1000*D70</f>
        <v>0</v>
      </c>
      <c r="E71" s="607">
        <f>E69/1000*E70</f>
        <v>0</v>
      </c>
      <c r="F71" s="607"/>
      <c r="G71" s="598"/>
      <c r="H71"/>
      <c r="I71"/>
      <c r="J71"/>
    </row>
    <row r="72" spans="2:10" s="71" customFormat="1" ht="18" x14ac:dyDescent="0.25">
      <c r="B72" s="273" t="s">
        <v>52</v>
      </c>
      <c r="C72" s="611" t="s">
        <v>832</v>
      </c>
      <c r="D72" s="607">
        <f>D71*'Dados auxiliares'!$H$132</f>
        <v>0</v>
      </c>
      <c r="E72" s="607">
        <f>E71*'Dados auxiliares'!$H$132</f>
        <v>0</v>
      </c>
      <c r="F72" s="607"/>
      <c r="G72" s="598"/>
      <c r="H72"/>
      <c r="I72"/>
      <c r="J72"/>
    </row>
    <row r="73" spans="2:10" s="71" customFormat="1" ht="18" x14ac:dyDescent="0.25">
      <c r="B73" s="302" t="s">
        <v>52</v>
      </c>
      <c r="C73" s="303" t="s">
        <v>530</v>
      </c>
      <c r="D73" s="304" t="e">
        <f>D72/$E$13</f>
        <v>#DIV/0!</v>
      </c>
      <c r="E73" s="304" t="e">
        <f>E72/$E$14</f>
        <v>#DIV/0!</v>
      </c>
      <c r="F73" s="304"/>
      <c r="G73" s="601"/>
      <c r="H73"/>
      <c r="I73"/>
      <c r="J73"/>
    </row>
    <row r="74" spans="2:10" s="71" customFormat="1" x14ac:dyDescent="0.25">
      <c r="B74" s="573" t="s">
        <v>905</v>
      </c>
      <c r="C74" s="412"/>
      <c r="D74" s="412"/>
      <c r="E74" s="412"/>
      <c r="F74" s="412"/>
      <c r="G74" s="583"/>
      <c r="H74"/>
      <c r="I74"/>
      <c r="J74"/>
    </row>
    <row r="75" spans="2:10" s="71" customFormat="1" x14ac:dyDescent="0.25">
      <c r="B75" s="300" t="s">
        <v>529</v>
      </c>
      <c r="C75" s="300" t="s">
        <v>0</v>
      </c>
      <c r="D75" s="300" t="s">
        <v>45</v>
      </c>
      <c r="E75" s="300" t="s">
        <v>46</v>
      </c>
      <c r="F75" s="300"/>
      <c r="G75" s="600"/>
      <c r="H75"/>
      <c r="I75"/>
      <c r="J75"/>
    </row>
    <row r="76" spans="2:10" s="71" customFormat="1" ht="18" x14ac:dyDescent="0.25">
      <c r="B76" s="273" t="s">
        <v>525</v>
      </c>
      <c r="C76" s="611" t="s">
        <v>834</v>
      </c>
      <c r="D76" s="607">
        <f>$D$13*E2G!$D$86</f>
        <v>0</v>
      </c>
      <c r="E76" s="607">
        <f>$D$14*E2G!$D$92</f>
        <v>0</v>
      </c>
      <c r="F76" s="609"/>
      <c r="G76" s="601"/>
      <c r="H76"/>
      <c r="I76"/>
      <c r="J76"/>
    </row>
    <row r="77" spans="2:10" s="71" customFormat="1" x14ac:dyDescent="0.25">
      <c r="B77" s="273" t="s">
        <v>531</v>
      </c>
      <c r="C77" s="94" t="s">
        <v>258</v>
      </c>
      <c r="D77" s="608">
        <f>'Dados auxiliares'!E155</f>
        <v>200</v>
      </c>
      <c r="E77" s="608">
        <f>'Dados auxiliares'!E155</f>
        <v>200</v>
      </c>
      <c r="F77" s="609"/>
      <c r="G77" s="601"/>
      <c r="H77"/>
      <c r="I77"/>
      <c r="J77"/>
    </row>
    <row r="78" spans="2:10" s="71" customFormat="1" ht="18" x14ac:dyDescent="0.25">
      <c r="B78" s="273" t="s">
        <v>528</v>
      </c>
      <c r="C78" s="611" t="s">
        <v>835</v>
      </c>
      <c r="D78" s="607">
        <f>D76/1000*D77</f>
        <v>0</v>
      </c>
      <c r="E78" s="607">
        <f>E76/1000*E77</f>
        <v>0</v>
      </c>
      <c r="F78" s="609"/>
      <c r="G78" s="601"/>
      <c r="H78"/>
      <c r="I78"/>
      <c r="J78"/>
    </row>
    <row r="79" spans="2:10" s="71" customFormat="1" x14ac:dyDescent="0.25">
      <c r="B79" s="273" t="s">
        <v>532</v>
      </c>
      <c r="C79" s="94" t="s">
        <v>258</v>
      </c>
      <c r="D79" s="608">
        <f>'Dados auxiliares'!D155</f>
        <v>500</v>
      </c>
      <c r="E79" s="608">
        <f>'Dados auxiliares'!D155</f>
        <v>500</v>
      </c>
      <c r="F79" s="609"/>
      <c r="G79" s="601"/>
      <c r="H79" s="70"/>
    </row>
    <row r="80" spans="2:10" s="71" customFormat="1" ht="18" x14ac:dyDescent="0.25">
      <c r="B80" s="273" t="s">
        <v>533</v>
      </c>
      <c r="C80" s="611" t="s">
        <v>835</v>
      </c>
      <c r="D80" s="607">
        <f>D76/1000*D79</f>
        <v>0</v>
      </c>
      <c r="E80" s="607">
        <f>E76/1000*E79</f>
        <v>0</v>
      </c>
      <c r="F80" s="609"/>
      <c r="G80" s="601"/>
      <c r="H80" s="70"/>
    </row>
    <row r="81" spans="2:8" s="71" customFormat="1" ht="18" x14ac:dyDescent="0.25">
      <c r="B81" s="273" t="s">
        <v>52</v>
      </c>
      <c r="C81" s="611" t="s">
        <v>832</v>
      </c>
      <c r="D81" s="607">
        <f>D78*'Dados auxiliares'!$H$132+D80*'Dados auxiliares'!$H$136</f>
        <v>0</v>
      </c>
      <c r="E81" s="607">
        <f>E78*'Dados auxiliares'!$H$132+E80*'Dados auxiliares'!$H$136</f>
        <v>0</v>
      </c>
      <c r="F81" s="609"/>
      <c r="G81" s="601"/>
      <c r="H81" s="70"/>
    </row>
    <row r="82" spans="2:8" s="71" customFormat="1" ht="18" x14ac:dyDescent="0.25">
      <c r="B82" s="302" t="s">
        <v>52</v>
      </c>
      <c r="C82" s="303" t="s">
        <v>530</v>
      </c>
      <c r="D82" s="304" t="e">
        <f>D81/$E$13</f>
        <v>#DIV/0!</v>
      </c>
      <c r="E82" s="304" t="e">
        <f>E81/$E$14</f>
        <v>#DIV/0!</v>
      </c>
      <c r="F82" s="304"/>
      <c r="G82" s="601"/>
      <c r="H82" s="70"/>
    </row>
    <row r="83" spans="2:8" s="71" customFormat="1" x14ac:dyDescent="0.25">
      <c r="B83" s="573" t="s">
        <v>906</v>
      </c>
      <c r="C83" s="412"/>
      <c r="D83" s="412"/>
      <c r="E83" s="412"/>
      <c r="F83" s="412"/>
      <c r="G83" s="583"/>
      <c r="H83" s="70"/>
    </row>
    <row r="84" spans="2:8" s="71" customFormat="1" x14ac:dyDescent="0.25">
      <c r="B84" s="300" t="s">
        <v>529</v>
      </c>
      <c r="C84" s="300" t="s">
        <v>0</v>
      </c>
      <c r="D84" s="300" t="s">
        <v>45</v>
      </c>
      <c r="E84" s="300" t="s">
        <v>46</v>
      </c>
      <c r="F84" s="300"/>
      <c r="G84" s="600"/>
      <c r="H84" s="70"/>
    </row>
    <row r="85" spans="2:8" s="71" customFormat="1" ht="18" x14ac:dyDescent="0.25">
      <c r="B85" s="273" t="s">
        <v>525</v>
      </c>
      <c r="C85" s="611" t="s">
        <v>834</v>
      </c>
      <c r="D85" s="607">
        <f>$D$13*E2G!$D$87</f>
        <v>0</v>
      </c>
      <c r="E85" s="607">
        <f>$D$14*E2G!$D$93</f>
        <v>0</v>
      </c>
      <c r="F85" s="609"/>
      <c r="G85" s="601"/>
      <c r="H85" s="70"/>
    </row>
    <row r="86" spans="2:8" s="71" customFormat="1" x14ac:dyDescent="0.25">
      <c r="B86" s="273" t="s">
        <v>531</v>
      </c>
      <c r="C86" s="94" t="s">
        <v>258</v>
      </c>
      <c r="D86" s="608">
        <f>'Dados auxiliares'!G155</f>
        <v>400</v>
      </c>
      <c r="E86" s="608">
        <f>'Dados auxiliares'!G155</f>
        <v>400</v>
      </c>
      <c r="F86" s="609"/>
      <c r="G86" s="601"/>
      <c r="H86" s="70"/>
    </row>
    <row r="87" spans="2:8" s="71" customFormat="1" ht="18" x14ac:dyDescent="0.25">
      <c r="B87" s="273" t="s">
        <v>528</v>
      </c>
      <c r="C87" s="611" t="s">
        <v>835</v>
      </c>
      <c r="D87" s="607">
        <f>D85/1000*D86</f>
        <v>0</v>
      </c>
      <c r="E87" s="607">
        <f>E85/1000*E86</f>
        <v>0</v>
      </c>
      <c r="F87" s="609"/>
      <c r="G87" s="601"/>
      <c r="H87" s="70"/>
    </row>
    <row r="88" spans="2:8" s="71" customFormat="1" x14ac:dyDescent="0.25">
      <c r="B88" s="273" t="s">
        <v>534</v>
      </c>
      <c r="C88" s="94" t="s">
        <v>258</v>
      </c>
      <c r="D88" s="608">
        <f>'Dados auxiliares'!F155</f>
        <v>300</v>
      </c>
      <c r="E88" s="608">
        <f>'Dados auxiliares'!F155</f>
        <v>300</v>
      </c>
      <c r="F88" s="609"/>
      <c r="G88" s="601"/>
      <c r="H88" s="70"/>
    </row>
    <row r="89" spans="2:8" s="71" customFormat="1" ht="18" x14ac:dyDescent="0.25">
      <c r="B89" s="273" t="s">
        <v>311</v>
      </c>
      <c r="C89" s="611" t="s">
        <v>835</v>
      </c>
      <c r="D89" s="607">
        <f>D85/1000*D88</f>
        <v>0</v>
      </c>
      <c r="E89" s="607">
        <f>E85/1000*E88</f>
        <v>0</v>
      </c>
      <c r="F89" s="609"/>
      <c r="G89" s="601"/>
      <c r="H89" s="70"/>
    </row>
    <row r="90" spans="2:8" s="71" customFormat="1" ht="18" x14ac:dyDescent="0.25">
      <c r="B90" s="273" t="s">
        <v>52</v>
      </c>
      <c r="C90" s="611" t="s">
        <v>832</v>
      </c>
      <c r="D90" s="607">
        <f>D87*'Dados auxiliares'!$H$132+D89*'Dados auxiliares'!$H$135</f>
        <v>0</v>
      </c>
      <c r="E90" s="607">
        <f>E87*'Dados auxiliares'!$H$132+E89*'Dados auxiliares'!$H$135</f>
        <v>0</v>
      </c>
      <c r="F90" s="609"/>
      <c r="G90" s="601"/>
      <c r="H90" s="70"/>
    </row>
    <row r="91" spans="2:8" s="71" customFormat="1" ht="18" x14ac:dyDescent="0.25">
      <c r="B91" s="302" t="s">
        <v>52</v>
      </c>
      <c r="C91" s="303" t="s">
        <v>530</v>
      </c>
      <c r="D91" s="304" t="e">
        <f>D90/$E$13</f>
        <v>#DIV/0!</v>
      </c>
      <c r="E91" s="304" t="e">
        <f>E90/$E$14</f>
        <v>#DIV/0!</v>
      </c>
      <c r="F91" s="304"/>
      <c r="G91" s="601"/>
      <c r="H91" s="70"/>
    </row>
    <row r="92" spans="2:8" s="71" customFormat="1" ht="6" customHeight="1" x14ac:dyDescent="0.25">
      <c r="H92" s="70"/>
    </row>
    <row r="93" spans="2:8" s="71" customFormat="1" ht="18" x14ac:dyDescent="0.25">
      <c r="B93" s="279" t="s">
        <v>55</v>
      </c>
      <c r="C93" s="279" t="s">
        <v>535</v>
      </c>
      <c r="D93" s="305" t="e">
        <f>D73+D82+D91</f>
        <v>#DIV/0!</v>
      </c>
      <c r="E93" s="305" t="e">
        <f>E73+E82+E91</f>
        <v>#DIV/0!</v>
      </c>
      <c r="F93" s="305"/>
      <c r="G93" s="602"/>
      <c r="H93" s="70"/>
    </row>
    <row r="94" spans="2:8" s="71" customFormat="1" x14ac:dyDescent="0.25">
      <c r="B94" s="70"/>
      <c r="C94" s="70"/>
      <c r="D94" s="70"/>
      <c r="E94" s="261"/>
      <c r="F94" s="230"/>
      <c r="G94" s="230"/>
      <c r="H94" s="70"/>
    </row>
    <row r="95" spans="2:8" s="71" customFormat="1" x14ac:dyDescent="0.25">
      <c r="B95" s="70"/>
      <c r="C95" s="70"/>
      <c r="D95" s="70"/>
      <c r="E95" s="261"/>
      <c r="F95" s="230"/>
      <c r="G95" s="230"/>
      <c r="H95" s="70"/>
    </row>
    <row r="96" spans="2:8" s="71" customFormat="1" x14ac:dyDescent="0.25">
      <c r="B96" s="70"/>
      <c r="C96" s="70"/>
      <c r="D96" s="70"/>
      <c r="E96" s="261"/>
      <c r="F96" s="230"/>
      <c r="G96" s="230"/>
      <c r="H96" s="70"/>
    </row>
    <row r="97" spans="1:9" s="71" customFormat="1" x14ac:dyDescent="0.25">
      <c r="B97" s="70"/>
      <c r="C97" s="70"/>
      <c r="D97" s="70"/>
      <c r="E97" s="261"/>
      <c r="F97" s="230"/>
      <c r="G97" s="230"/>
      <c r="H97" s="70"/>
    </row>
    <row r="98" spans="1:9" s="71" customFormat="1" x14ac:dyDescent="0.25">
      <c r="B98" s="70"/>
      <c r="C98" s="70"/>
      <c r="D98" s="70"/>
      <c r="E98" s="261"/>
      <c r="F98" s="230"/>
      <c r="G98" s="230"/>
      <c r="H98" s="70"/>
    </row>
    <row r="99" spans="1:9" s="71" customFormat="1" x14ac:dyDescent="0.25">
      <c r="B99" s="70"/>
      <c r="C99" s="70"/>
      <c r="D99" s="70"/>
      <c r="E99" s="261"/>
      <c r="F99" s="230"/>
      <c r="G99" s="230"/>
      <c r="H99" s="70"/>
    </row>
    <row r="100" spans="1:9" s="71" customFormat="1" x14ac:dyDescent="0.25">
      <c r="B100" s="70"/>
      <c r="C100" s="70"/>
      <c r="D100" s="70"/>
      <c r="E100" s="261"/>
      <c r="F100" s="230"/>
      <c r="G100" s="230"/>
      <c r="H100" s="70"/>
    </row>
    <row r="101" spans="1:9" s="71" customFormat="1" x14ac:dyDescent="0.25">
      <c r="B101" s="70"/>
      <c r="C101" s="70"/>
      <c r="D101" s="70"/>
      <c r="E101" s="261"/>
      <c r="F101" s="230"/>
      <c r="G101" s="230"/>
      <c r="H101" s="70"/>
    </row>
    <row r="102" spans="1:9" s="71" customFormat="1" x14ac:dyDescent="0.25">
      <c r="B102" s="70"/>
      <c r="C102" s="70"/>
      <c r="D102" s="70"/>
      <c r="E102" s="261"/>
      <c r="F102" s="230"/>
      <c r="G102" s="230"/>
      <c r="H102" s="70"/>
    </row>
    <row r="103" spans="1:9" s="71" customFormat="1" x14ac:dyDescent="0.25">
      <c r="B103" s="70"/>
      <c r="C103" s="70"/>
      <c r="D103" s="70"/>
      <c r="E103" s="261"/>
      <c r="F103" s="230"/>
      <c r="G103" s="230"/>
      <c r="H103" s="70"/>
    </row>
    <row r="104" spans="1:9" s="71" customFormat="1" x14ac:dyDescent="0.25">
      <c r="B104" s="70"/>
      <c r="C104" s="70"/>
      <c r="D104" s="70"/>
      <c r="E104" s="261"/>
      <c r="F104" s="230"/>
      <c r="G104" s="230"/>
      <c r="H104" s="70"/>
    </row>
    <row r="105" spans="1:9" s="230" customFormat="1" x14ac:dyDescent="0.25">
      <c r="A105" s="71"/>
      <c r="B105" s="70"/>
      <c r="C105" s="70"/>
      <c r="D105" s="70"/>
      <c r="E105" s="261"/>
      <c r="H105" s="70"/>
      <c r="I105" s="71"/>
    </row>
    <row r="106" spans="1:9" s="230" customFormat="1" x14ac:dyDescent="0.25">
      <c r="A106" s="71"/>
      <c r="B106" s="70"/>
      <c r="C106" s="70"/>
      <c r="D106" s="70"/>
      <c r="E106" s="261"/>
      <c r="H106" s="70"/>
      <c r="I106" s="71"/>
    </row>
    <row r="107" spans="1:9" s="230" customFormat="1" x14ac:dyDescent="0.25">
      <c r="A107" s="71"/>
      <c r="B107" s="70"/>
      <c r="C107" s="70"/>
      <c r="D107" s="70"/>
      <c r="E107" s="261"/>
      <c r="H107" s="70"/>
      <c r="I107" s="71"/>
    </row>
    <row r="108" spans="1:9" s="230" customFormat="1" x14ac:dyDescent="0.25">
      <c r="A108" s="71"/>
      <c r="B108" s="70"/>
      <c r="C108" s="70"/>
      <c r="D108" s="70"/>
      <c r="E108" s="261"/>
      <c r="H108" s="70"/>
      <c r="I108" s="71"/>
    </row>
    <row r="109" spans="1:9" s="230" customFormat="1" x14ac:dyDescent="0.25">
      <c r="A109" s="71"/>
      <c r="B109" s="70"/>
      <c r="C109" s="70"/>
      <c r="D109" s="70"/>
      <c r="E109" s="261"/>
      <c r="H109" s="70"/>
      <c r="I109" s="71"/>
    </row>
    <row r="110" spans="1:9" s="230" customFormat="1" x14ac:dyDescent="0.25">
      <c r="A110" s="71"/>
      <c r="B110" s="70"/>
      <c r="C110" s="70"/>
      <c r="D110" s="70"/>
      <c r="E110" s="261"/>
      <c r="H110" s="70"/>
      <c r="I110" s="71"/>
    </row>
    <row r="111" spans="1:9" s="230" customFormat="1" x14ac:dyDescent="0.25">
      <c r="A111" s="71"/>
      <c r="B111" s="70"/>
      <c r="C111" s="70"/>
      <c r="D111" s="70"/>
      <c r="E111" s="261"/>
      <c r="H111" s="70"/>
      <c r="I111" s="71"/>
    </row>
    <row r="112" spans="1:9" s="230" customFormat="1" x14ac:dyDescent="0.25">
      <c r="A112" s="71"/>
      <c r="B112" s="70"/>
      <c r="C112" s="70"/>
      <c r="D112" s="70"/>
      <c r="E112" s="261"/>
      <c r="H112" s="70"/>
      <c r="I112" s="71"/>
    </row>
    <row r="113" spans="1:9" s="230" customFormat="1" x14ac:dyDescent="0.25">
      <c r="A113" s="71"/>
      <c r="B113" s="70"/>
      <c r="C113" s="70"/>
      <c r="D113" s="70"/>
      <c r="E113" s="261"/>
      <c r="H113" s="70"/>
      <c r="I113" s="71"/>
    </row>
    <row r="114" spans="1:9" s="230" customFormat="1" x14ac:dyDescent="0.25">
      <c r="A114" s="71"/>
      <c r="B114" s="70"/>
      <c r="C114" s="70"/>
      <c r="D114" s="70"/>
      <c r="E114" s="261"/>
      <c r="H114" s="70"/>
      <c r="I114" s="71"/>
    </row>
    <row r="115" spans="1:9" s="230" customFormat="1" x14ac:dyDescent="0.25">
      <c r="A115" s="71"/>
      <c r="B115" s="70"/>
      <c r="C115" s="70"/>
      <c r="D115" s="70"/>
      <c r="E115" s="261"/>
      <c r="H115" s="70"/>
      <c r="I115" s="71"/>
    </row>
    <row r="116" spans="1:9" s="230" customFormat="1" x14ac:dyDescent="0.25">
      <c r="A116" s="71"/>
      <c r="B116" s="70"/>
      <c r="C116" s="70"/>
      <c r="D116" s="70"/>
      <c r="E116" s="261"/>
      <c r="H116" s="70"/>
      <c r="I116" s="71"/>
    </row>
    <row r="117" spans="1:9" s="230" customFormat="1" x14ac:dyDescent="0.25">
      <c r="A117" s="71"/>
      <c r="B117" s="70"/>
      <c r="C117" s="70"/>
      <c r="D117" s="70"/>
      <c r="E117" s="261"/>
      <c r="H117" s="70"/>
      <c r="I117" s="71"/>
    </row>
    <row r="118" spans="1:9" s="230" customFormat="1" x14ac:dyDescent="0.25">
      <c r="A118" s="71"/>
      <c r="B118" s="70"/>
      <c r="C118" s="70"/>
      <c r="D118" s="70"/>
      <c r="E118" s="261"/>
      <c r="H118" s="70"/>
      <c r="I118" s="71"/>
    </row>
    <row r="119" spans="1:9" s="230" customFormat="1" x14ac:dyDescent="0.25">
      <c r="A119" s="71"/>
      <c r="B119" s="70"/>
      <c r="C119" s="70"/>
      <c r="D119" s="70"/>
      <c r="E119" s="261"/>
      <c r="H119" s="70"/>
      <c r="I119" s="71"/>
    </row>
    <row r="120" spans="1:9" s="230" customFormat="1" x14ac:dyDescent="0.25">
      <c r="A120" s="71"/>
      <c r="B120" s="70"/>
      <c r="C120" s="70"/>
      <c r="D120" s="70"/>
      <c r="E120" s="261"/>
      <c r="H120" s="70"/>
      <c r="I120" s="71"/>
    </row>
    <row r="121" spans="1:9" s="230" customFormat="1" x14ac:dyDescent="0.25">
      <c r="A121" s="71"/>
      <c r="B121" s="70"/>
      <c r="C121" s="70"/>
      <c r="D121" s="70"/>
      <c r="E121" s="261"/>
      <c r="H121" s="70"/>
      <c r="I121" s="71"/>
    </row>
    <row r="122" spans="1:9" s="230" customFormat="1" x14ac:dyDescent="0.25">
      <c r="A122" s="71"/>
      <c r="B122" s="70"/>
      <c r="C122" s="70"/>
      <c r="D122" s="70"/>
      <c r="E122" s="261"/>
      <c r="H122" s="70"/>
      <c r="I122" s="71"/>
    </row>
    <row r="123" spans="1:9" s="230" customFormat="1" x14ac:dyDescent="0.25">
      <c r="A123" s="71"/>
      <c r="B123" s="70"/>
      <c r="C123" s="70"/>
      <c r="D123" s="70"/>
      <c r="E123" s="261"/>
      <c r="H123" s="70"/>
      <c r="I123" s="71"/>
    </row>
    <row r="124" spans="1:9" s="230" customFormat="1" x14ac:dyDescent="0.25">
      <c r="A124" s="71"/>
      <c r="B124" s="70"/>
      <c r="C124" s="70"/>
      <c r="D124" s="70"/>
      <c r="E124" s="261"/>
      <c r="H124" s="70"/>
      <c r="I124" s="71"/>
    </row>
    <row r="125" spans="1:9" s="230" customFormat="1" x14ac:dyDescent="0.25">
      <c r="A125" s="71"/>
      <c r="B125" s="70"/>
      <c r="C125" s="70"/>
      <c r="D125" s="70"/>
      <c r="E125" s="261"/>
      <c r="H125" s="70"/>
      <c r="I125" s="71"/>
    </row>
    <row r="126" spans="1:9" s="230" customFormat="1" x14ac:dyDescent="0.25">
      <c r="A126" s="71"/>
      <c r="B126" s="70"/>
      <c r="C126" s="70"/>
      <c r="D126" s="70"/>
      <c r="E126" s="261"/>
      <c r="H126" s="70"/>
      <c r="I126" s="71"/>
    </row>
    <row r="127" spans="1:9" s="230" customFormat="1" x14ac:dyDescent="0.25">
      <c r="A127" s="71"/>
      <c r="B127" s="70"/>
      <c r="C127" s="70"/>
      <c r="D127" s="70"/>
      <c r="E127" s="261"/>
      <c r="H127" s="70"/>
      <c r="I127" s="71"/>
    </row>
    <row r="128" spans="1:9" s="230" customFormat="1" x14ac:dyDescent="0.25">
      <c r="A128" s="71"/>
      <c r="B128" s="70"/>
      <c r="C128" s="70"/>
      <c r="D128" s="70"/>
      <c r="E128" s="261"/>
      <c r="H128" s="70"/>
      <c r="I128" s="71"/>
    </row>
    <row r="129" spans="1:9" s="230" customFormat="1" x14ac:dyDescent="0.25">
      <c r="A129" s="71"/>
      <c r="B129" s="70"/>
      <c r="C129" s="70"/>
      <c r="D129" s="70"/>
      <c r="E129" s="261"/>
      <c r="H129" s="70"/>
      <c r="I129" s="71"/>
    </row>
    <row r="130" spans="1:9" s="230" customFormat="1" x14ac:dyDescent="0.25">
      <c r="A130" s="71"/>
      <c r="B130" s="70"/>
      <c r="C130" s="70"/>
      <c r="D130" s="70"/>
      <c r="E130" s="261"/>
      <c r="H130" s="70"/>
      <c r="I130" s="71"/>
    </row>
    <row r="131" spans="1:9" s="230" customFormat="1" x14ac:dyDescent="0.25">
      <c r="A131" s="71"/>
      <c r="B131" s="70"/>
      <c r="C131" s="70"/>
      <c r="D131" s="70"/>
      <c r="E131" s="261"/>
      <c r="H131" s="70"/>
      <c r="I131" s="71"/>
    </row>
    <row r="132" spans="1:9" s="230" customFormat="1" x14ac:dyDescent="0.25">
      <c r="A132" s="71"/>
      <c r="B132" s="70"/>
      <c r="C132" s="70"/>
      <c r="D132" s="70"/>
      <c r="E132" s="261"/>
      <c r="H132" s="70"/>
      <c r="I132" s="71"/>
    </row>
    <row r="133" spans="1:9" s="230" customFormat="1" x14ac:dyDescent="0.25">
      <c r="A133" s="71"/>
      <c r="B133" s="70"/>
      <c r="C133" s="70"/>
      <c r="D133" s="70"/>
      <c r="E133" s="261"/>
      <c r="H133" s="70"/>
      <c r="I133" s="71"/>
    </row>
    <row r="134" spans="1:9" s="230" customFormat="1" x14ac:dyDescent="0.25">
      <c r="A134" s="71"/>
      <c r="B134" s="70"/>
      <c r="C134" s="70"/>
      <c r="D134" s="70"/>
      <c r="E134" s="261"/>
      <c r="H134" s="70"/>
      <c r="I134" s="71"/>
    </row>
    <row r="135" spans="1:9" s="230" customFormat="1" x14ac:dyDescent="0.25">
      <c r="A135" s="71"/>
      <c r="B135" s="70"/>
      <c r="C135" s="70"/>
      <c r="D135" s="70"/>
      <c r="E135" s="261"/>
      <c r="H135" s="70"/>
      <c r="I135" s="71"/>
    </row>
    <row r="136" spans="1:9" s="230" customFormat="1" x14ac:dyDescent="0.25">
      <c r="A136" s="71"/>
      <c r="B136" s="70"/>
      <c r="C136" s="70"/>
      <c r="D136" s="70"/>
      <c r="E136" s="261"/>
      <c r="H136" s="70"/>
      <c r="I136" s="71"/>
    </row>
    <row r="137" spans="1:9" s="230" customFormat="1" x14ac:dyDescent="0.25">
      <c r="A137" s="71"/>
      <c r="B137" s="70"/>
      <c r="C137" s="70"/>
      <c r="D137" s="70"/>
      <c r="E137" s="261"/>
      <c r="H137" s="70"/>
      <c r="I137" s="71"/>
    </row>
    <row r="138" spans="1:9" s="230" customFormat="1" x14ac:dyDescent="0.25">
      <c r="A138" s="71"/>
      <c r="B138" s="70"/>
      <c r="C138" s="70"/>
      <c r="D138" s="70"/>
      <c r="E138" s="261"/>
      <c r="H138" s="70"/>
      <c r="I138" s="71"/>
    </row>
    <row r="139" spans="1:9" s="230" customFormat="1" x14ac:dyDescent="0.25">
      <c r="A139" s="71"/>
      <c r="B139" s="70"/>
      <c r="C139" s="70"/>
      <c r="D139" s="70"/>
      <c r="E139" s="261"/>
      <c r="H139" s="70"/>
      <c r="I139" s="71"/>
    </row>
    <row r="140" spans="1:9" s="230" customFormat="1" x14ac:dyDescent="0.25">
      <c r="A140" s="71"/>
      <c r="B140" s="70"/>
      <c r="C140" s="70"/>
      <c r="D140" s="70"/>
      <c r="E140" s="261"/>
      <c r="H140" s="70"/>
      <c r="I140" s="71"/>
    </row>
    <row r="141" spans="1:9" s="230" customFormat="1" x14ac:dyDescent="0.25">
      <c r="A141" s="71"/>
      <c r="B141" s="70"/>
      <c r="C141" s="70"/>
      <c r="D141" s="70"/>
      <c r="E141" s="261"/>
      <c r="H141" s="70"/>
      <c r="I141" s="71"/>
    </row>
    <row r="142" spans="1:9" s="230" customFormat="1" x14ac:dyDescent="0.25">
      <c r="A142" s="71"/>
      <c r="B142" s="70"/>
      <c r="C142" s="70"/>
      <c r="D142" s="70"/>
      <c r="E142" s="261"/>
      <c r="H142" s="70"/>
      <c r="I142" s="71"/>
    </row>
    <row r="143" spans="1:9" s="230" customFormat="1" x14ac:dyDescent="0.25">
      <c r="A143" s="71"/>
      <c r="B143" s="70"/>
      <c r="C143" s="70"/>
      <c r="D143" s="70"/>
      <c r="E143" s="261"/>
      <c r="H143" s="70"/>
      <c r="I143" s="71"/>
    </row>
    <row r="144" spans="1:9" s="230" customFormat="1" x14ac:dyDescent="0.25">
      <c r="A144" s="71"/>
      <c r="B144" s="70"/>
      <c r="C144" s="70"/>
      <c r="D144" s="70"/>
      <c r="E144" s="261"/>
      <c r="H144" s="70"/>
      <c r="I144" s="71"/>
    </row>
    <row r="145" spans="1:9" s="230" customFormat="1" x14ac:dyDescent="0.25">
      <c r="A145" s="71"/>
      <c r="B145" s="70"/>
      <c r="C145" s="70"/>
      <c r="D145" s="70"/>
      <c r="E145" s="261"/>
      <c r="H145" s="70"/>
      <c r="I145" s="71"/>
    </row>
    <row r="146" spans="1:9" s="230" customFormat="1" x14ac:dyDescent="0.25">
      <c r="A146" s="71"/>
      <c r="B146" s="70"/>
      <c r="C146" s="70"/>
      <c r="D146" s="70"/>
      <c r="E146" s="261"/>
      <c r="H146" s="70"/>
      <c r="I146" s="71"/>
    </row>
    <row r="147" spans="1:9" s="230" customFormat="1" x14ac:dyDescent="0.25">
      <c r="A147" s="71"/>
      <c r="B147" s="70"/>
      <c r="C147" s="70"/>
      <c r="D147" s="70"/>
      <c r="E147" s="261"/>
      <c r="H147" s="70"/>
      <c r="I147" s="71"/>
    </row>
    <row r="148" spans="1:9" s="230" customFormat="1" x14ac:dyDescent="0.25">
      <c r="A148" s="71"/>
      <c r="B148" s="70"/>
      <c r="C148" s="70"/>
      <c r="D148" s="70"/>
      <c r="E148" s="261"/>
      <c r="H148" s="70"/>
      <c r="I148" s="71"/>
    </row>
    <row r="149" spans="1:9" s="230" customFormat="1" x14ac:dyDescent="0.25">
      <c r="A149" s="71"/>
      <c r="B149" s="70"/>
      <c r="C149" s="70"/>
      <c r="D149" s="70"/>
      <c r="E149" s="261"/>
      <c r="H149" s="70"/>
      <c r="I149" s="71"/>
    </row>
    <row r="150" spans="1:9" s="230" customFormat="1" x14ac:dyDescent="0.25">
      <c r="A150" s="71"/>
      <c r="B150" s="70"/>
      <c r="C150" s="70"/>
      <c r="D150" s="70"/>
      <c r="E150" s="261"/>
      <c r="H150" s="70"/>
      <c r="I150" s="71"/>
    </row>
    <row r="151" spans="1:9" s="230" customFormat="1" x14ac:dyDescent="0.25">
      <c r="A151" s="71"/>
      <c r="B151" s="70"/>
      <c r="C151" s="70"/>
      <c r="D151" s="70"/>
      <c r="E151" s="261"/>
      <c r="H151" s="70"/>
      <c r="I151" s="71"/>
    </row>
    <row r="152" spans="1:9" s="230" customFormat="1" x14ac:dyDescent="0.25">
      <c r="A152" s="71"/>
      <c r="B152" s="70"/>
      <c r="C152" s="70"/>
      <c r="D152" s="70"/>
      <c r="E152" s="261"/>
      <c r="H152" s="70"/>
      <c r="I152" s="71"/>
    </row>
    <row r="153" spans="1:9" s="230" customFormat="1" x14ac:dyDescent="0.25">
      <c r="A153" s="71"/>
      <c r="B153" s="70"/>
      <c r="C153" s="70"/>
      <c r="D153" s="70"/>
      <c r="E153" s="261"/>
      <c r="H153" s="70"/>
      <c r="I153" s="71"/>
    </row>
    <row r="154" spans="1:9" s="230" customFormat="1" x14ac:dyDescent="0.25">
      <c r="A154" s="71"/>
      <c r="B154" s="70"/>
      <c r="C154" s="70"/>
      <c r="D154" s="70"/>
      <c r="E154" s="261"/>
      <c r="H154" s="70"/>
      <c r="I154" s="71"/>
    </row>
    <row r="155" spans="1:9" s="230" customFormat="1" x14ac:dyDescent="0.25">
      <c r="A155" s="71"/>
      <c r="B155" s="70"/>
      <c r="C155" s="70"/>
      <c r="D155" s="70"/>
      <c r="E155" s="261"/>
      <c r="H155" s="70"/>
      <c r="I155" s="71"/>
    </row>
    <row r="156" spans="1:9" s="230" customFormat="1" x14ac:dyDescent="0.25">
      <c r="A156" s="71"/>
      <c r="B156" s="70"/>
      <c r="C156" s="70"/>
      <c r="D156" s="70"/>
      <c r="E156" s="261"/>
      <c r="H156" s="70"/>
      <c r="I156" s="71"/>
    </row>
    <row r="157" spans="1:9" s="230" customFormat="1" x14ac:dyDescent="0.25">
      <c r="A157" s="71"/>
      <c r="B157" s="70"/>
      <c r="C157" s="70"/>
      <c r="D157" s="70"/>
      <c r="E157" s="261"/>
      <c r="H157" s="70"/>
      <c r="I157" s="71"/>
    </row>
    <row r="158" spans="1:9" s="230" customFormat="1" x14ac:dyDescent="0.25">
      <c r="A158" s="71"/>
      <c r="B158" s="70"/>
      <c r="C158" s="70"/>
      <c r="D158" s="70"/>
      <c r="E158" s="261"/>
      <c r="H158" s="70"/>
      <c r="I158" s="71"/>
    </row>
    <row r="159" spans="1:9" s="230" customFormat="1" x14ac:dyDescent="0.25">
      <c r="A159" s="71"/>
      <c r="B159" s="70"/>
      <c r="C159" s="70"/>
      <c r="D159" s="70"/>
      <c r="E159" s="261"/>
      <c r="H159" s="70"/>
      <c r="I159" s="71"/>
    </row>
    <row r="160" spans="1:9" s="230" customFormat="1" x14ac:dyDescent="0.25">
      <c r="A160" s="71"/>
      <c r="B160" s="70"/>
      <c r="C160" s="70"/>
      <c r="D160" s="70"/>
      <c r="E160" s="261"/>
      <c r="H160" s="70"/>
      <c r="I160" s="71"/>
    </row>
    <row r="161" spans="1:9" s="230" customFormat="1" x14ac:dyDescent="0.25">
      <c r="A161" s="71"/>
      <c r="B161" s="70"/>
      <c r="C161" s="70"/>
      <c r="D161" s="70"/>
      <c r="E161" s="261"/>
      <c r="H161" s="70"/>
      <c r="I161" s="71"/>
    </row>
    <row r="162" spans="1:9" s="230" customFormat="1" x14ac:dyDescent="0.25">
      <c r="A162" s="71"/>
      <c r="B162" s="70"/>
      <c r="C162" s="70"/>
      <c r="D162" s="70"/>
      <c r="E162" s="261"/>
      <c r="H162" s="70"/>
      <c r="I162" s="71"/>
    </row>
    <row r="163" spans="1:9" s="230" customFormat="1" x14ac:dyDescent="0.25">
      <c r="A163" s="71"/>
      <c r="B163" s="70"/>
      <c r="C163" s="70"/>
      <c r="D163" s="70"/>
      <c r="E163" s="261"/>
      <c r="H163" s="70"/>
      <c r="I163" s="71"/>
    </row>
    <row r="164" spans="1:9" s="230" customFormat="1" x14ac:dyDescent="0.25">
      <c r="A164" s="71"/>
      <c r="B164" s="70"/>
      <c r="C164" s="70"/>
      <c r="D164" s="70"/>
      <c r="E164" s="261"/>
      <c r="H164" s="70"/>
      <c r="I164" s="71"/>
    </row>
    <row r="165" spans="1:9" s="230" customFormat="1" x14ac:dyDescent="0.25">
      <c r="A165" s="71"/>
      <c r="B165" s="70"/>
      <c r="C165" s="70"/>
      <c r="D165" s="70"/>
      <c r="E165" s="261"/>
      <c r="H165" s="70"/>
      <c r="I165" s="71"/>
    </row>
    <row r="166" spans="1:9" s="230" customFormat="1" x14ac:dyDescent="0.25">
      <c r="A166" s="71"/>
      <c r="B166" s="70"/>
      <c r="C166" s="70"/>
      <c r="D166" s="70"/>
      <c r="E166" s="261"/>
      <c r="H166" s="70"/>
      <c r="I166" s="71"/>
    </row>
    <row r="167" spans="1:9" s="230" customFormat="1" x14ac:dyDescent="0.25">
      <c r="A167" s="71"/>
      <c r="B167" s="70"/>
      <c r="C167" s="70"/>
      <c r="D167" s="70"/>
      <c r="E167" s="261"/>
      <c r="H167" s="70"/>
      <c r="I167" s="71"/>
    </row>
    <row r="168" spans="1:9" s="230" customFormat="1" x14ac:dyDescent="0.25">
      <c r="A168" s="71"/>
      <c r="B168" s="70"/>
      <c r="C168" s="70"/>
      <c r="D168" s="70"/>
      <c r="E168" s="261"/>
      <c r="H168" s="70"/>
      <c r="I168" s="71"/>
    </row>
    <row r="169" spans="1:9" s="230" customFormat="1" x14ac:dyDescent="0.25">
      <c r="A169" s="71"/>
      <c r="B169" s="70"/>
      <c r="C169" s="70"/>
      <c r="D169" s="70"/>
      <c r="E169" s="261"/>
      <c r="H169" s="70"/>
      <c r="I169" s="71"/>
    </row>
    <row r="170" spans="1:9" s="230" customFormat="1" x14ac:dyDescent="0.25">
      <c r="A170" s="71"/>
      <c r="B170" s="70"/>
      <c r="C170" s="70"/>
      <c r="D170" s="70"/>
      <c r="E170" s="261"/>
      <c r="H170" s="70"/>
      <c r="I170" s="71"/>
    </row>
    <row r="171" spans="1:9" s="230" customFormat="1" x14ac:dyDescent="0.25">
      <c r="A171" s="71"/>
      <c r="B171" s="70"/>
      <c r="C171" s="70"/>
      <c r="D171" s="70"/>
      <c r="E171" s="261"/>
      <c r="H171" s="70"/>
      <c r="I171" s="71"/>
    </row>
    <row r="172" spans="1:9" s="230" customFormat="1" x14ac:dyDescent="0.25">
      <c r="A172" s="71"/>
      <c r="B172" s="70"/>
      <c r="C172" s="70"/>
      <c r="D172" s="70"/>
      <c r="E172" s="261"/>
      <c r="H172" s="70"/>
      <c r="I172" s="71"/>
    </row>
    <row r="173" spans="1:9" s="230" customFormat="1" x14ac:dyDescent="0.25">
      <c r="A173" s="71"/>
      <c r="B173" s="70"/>
      <c r="C173" s="70"/>
      <c r="D173" s="70"/>
      <c r="E173" s="261"/>
      <c r="H173" s="70"/>
      <c r="I173" s="71"/>
    </row>
    <row r="174" spans="1:9" s="230" customFormat="1" x14ac:dyDescent="0.25">
      <c r="A174" s="71"/>
      <c r="B174" s="70"/>
      <c r="C174" s="70"/>
      <c r="D174" s="70"/>
      <c r="E174" s="261"/>
      <c r="H174" s="70"/>
      <c r="I174" s="71"/>
    </row>
    <row r="175" spans="1:9" s="230" customFormat="1" x14ac:dyDescent="0.25">
      <c r="A175" s="71"/>
      <c r="B175" s="70"/>
      <c r="C175" s="70"/>
      <c r="D175" s="70"/>
      <c r="E175" s="261"/>
      <c r="H175" s="70"/>
      <c r="I175" s="71"/>
    </row>
    <row r="176" spans="1:9" s="230" customFormat="1" x14ac:dyDescent="0.25">
      <c r="A176" s="71"/>
      <c r="B176" s="70"/>
      <c r="C176" s="70"/>
      <c r="D176" s="70"/>
      <c r="E176" s="261"/>
      <c r="H176" s="70"/>
      <c r="I176" s="71"/>
    </row>
    <row r="177" spans="1:9" s="230" customFormat="1" x14ac:dyDescent="0.25">
      <c r="A177" s="71"/>
      <c r="B177" s="70"/>
      <c r="C177" s="70"/>
      <c r="D177" s="70"/>
      <c r="E177" s="261"/>
      <c r="H177" s="70"/>
      <c r="I177" s="71"/>
    </row>
    <row r="178" spans="1:9" s="230" customFormat="1" x14ac:dyDescent="0.25">
      <c r="A178" s="71"/>
      <c r="B178" s="70"/>
      <c r="C178" s="70"/>
      <c r="D178" s="70"/>
      <c r="E178" s="261"/>
      <c r="H178" s="70"/>
      <c r="I178" s="71"/>
    </row>
    <row r="179" spans="1:9" s="230" customFormat="1" x14ac:dyDescent="0.25">
      <c r="A179" s="71"/>
      <c r="B179" s="70"/>
      <c r="C179" s="70"/>
      <c r="D179" s="70"/>
      <c r="E179" s="261"/>
      <c r="H179" s="70"/>
      <c r="I179" s="71"/>
    </row>
    <row r="180" spans="1:9" s="230" customFormat="1" x14ac:dyDescent="0.25">
      <c r="A180" s="71"/>
      <c r="B180" s="70"/>
      <c r="C180" s="70"/>
      <c r="D180" s="70"/>
      <c r="E180" s="261"/>
      <c r="H180" s="70"/>
      <c r="I180" s="71"/>
    </row>
    <row r="181" spans="1:9" s="230" customFormat="1" x14ac:dyDescent="0.25">
      <c r="A181" s="71"/>
      <c r="B181" s="70"/>
      <c r="C181" s="70"/>
      <c r="D181" s="70"/>
      <c r="E181" s="261"/>
      <c r="H181" s="70"/>
      <c r="I181" s="71"/>
    </row>
    <row r="182" spans="1:9" s="230" customFormat="1" x14ac:dyDescent="0.25">
      <c r="A182" s="71"/>
      <c r="B182" s="70"/>
      <c r="C182" s="70"/>
      <c r="D182" s="70"/>
      <c r="E182" s="261"/>
      <c r="H182" s="70"/>
      <c r="I182" s="71"/>
    </row>
    <row r="183" spans="1:9" s="230" customFormat="1" x14ac:dyDescent="0.25">
      <c r="A183" s="71"/>
      <c r="B183" s="70"/>
      <c r="C183" s="70"/>
      <c r="D183" s="70"/>
      <c r="E183" s="261"/>
      <c r="H183" s="70"/>
      <c r="I183" s="71"/>
    </row>
    <row r="184" spans="1:9" s="230" customFormat="1" x14ac:dyDescent="0.25">
      <c r="A184" s="71"/>
      <c r="B184" s="70"/>
      <c r="C184" s="70"/>
      <c r="D184" s="70"/>
      <c r="E184" s="261"/>
      <c r="H184" s="70"/>
      <c r="I184" s="71"/>
    </row>
    <row r="185" spans="1:9" s="230" customFormat="1" x14ac:dyDescent="0.25">
      <c r="A185" s="71"/>
      <c r="B185" s="70"/>
      <c r="C185" s="70"/>
      <c r="D185" s="70"/>
      <c r="E185" s="261"/>
      <c r="H185" s="70"/>
      <c r="I185" s="71"/>
    </row>
    <row r="186" spans="1:9" s="230" customFormat="1" x14ac:dyDescent="0.25">
      <c r="A186" s="71"/>
      <c r="B186" s="70"/>
      <c r="C186" s="70"/>
      <c r="D186" s="70"/>
      <c r="E186" s="261"/>
      <c r="H186" s="70"/>
      <c r="I186" s="71"/>
    </row>
    <row r="187" spans="1:9" s="230" customFormat="1" x14ac:dyDescent="0.25">
      <c r="A187" s="71"/>
      <c r="B187" s="70"/>
      <c r="C187" s="70"/>
      <c r="D187" s="70"/>
      <c r="E187" s="261"/>
      <c r="H187" s="70"/>
      <c r="I187" s="71"/>
    </row>
    <row r="188" spans="1:9" s="230" customFormat="1" x14ac:dyDescent="0.25">
      <c r="A188" s="71"/>
      <c r="B188" s="70"/>
      <c r="C188" s="70"/>
      <c r="D188" s="70"/>
      <c r="E188" s="261"/>
      <c r="H188" s="70"/>
      <c r="I188" s="71"/>
    </row>
    <row r="189" spans="1:9" s="230" customFormat="1" x14ac:dyDescent="0.25">
      <c r="A189" s="71"/>
      <c r="B189" s="70"/>
      <c r="C189" s="70"/>
      <c r="D189" s="70"/>
      <c r="E189" s="261"/>
      <c r="H189" s="70"/>
      <c r="I189" s="71"/>
    </row>
    <row r="190" spans="1:9" s="230" customFormat="1" x14ac:dyDescent="0.25">
      <c r="A190" s="71"/>
      <c r="B190" s="70"/>
      <c r="C190" s="70"/>
      <c r="D190" s="70"/>
      <c r="E190" s="261"/>
      <c r="H190" s="70"/>
      <c r="I190" s="71"/>
    </row>
    <row r="191" spans="1:9" s="230" customFormat="1" x14ac:dyDescent="0.25">
      <c r="A191" s="71"/>
      <c r="B191" s="70"/>
      <c r="C191" s="70"/>
      <c r="D191" s="70"/>
      <c r="E191" s="261"/>
      <c r="H191" s="70"/>
      <c r="I191" s="71"/>
    </row>
    <row r="192" spans="1:9" s="230" customFormat="1" x14ac:dyDescent="0.25">
      <c r="A192" s="71"/>
      <c r="B192" s="70"/>
      <c r="C192" s="70"/>
      <c r="D192" s="70"/>
      <c r="E192" s="261"/>
      <c r="H192" s="70"/>
      <c r="I192" s="71"/>
    </row>
    <row r="193" spans="1:9" s="230" customFormat="1" x14ac:dyDescent="0.25">
      <c r="A193" s="71"/>
      <c r="B193" s="70"/>
      <c r="C193" s="70"/>
      <c r="D193" s="70"/>
      <c r="E193" s="261"/>
      <c r="H193" s="70"/>
      <c r="I193" s="71"/>
    </row>
    <row r="194" spans="1:9" s="230" customFormat="1" x14ac:dyDescent="0.25">
      <c r="A194" s="71"/>
      <c r="B194" s="70"/>
      <c r="C194" s="70"/>
      <c r="D194" s="70"/>
      <c r="E194" s="261"/>
      <c r="H194" s="70"/>
      <c r="I194" s="71"/>
    </row>
    <row r="195" spans="1:9" s="230" customFormat="1" x14ac:dyDescent="0.25">
      <c r="A195" s="71"/>
      <c r="B195" s="70"/>
      <c r="C195" s="70"/>
      <c r="D195" s="70"/>
      <c r="E195" s="261"/>
      <c r="H195" s="70"/>
      <c r="I195" s="71"/>
    </row>
    <row r="196" spans="1:9" s="230" customFormat="1" x14ac:dyDescent="0.25">
      <c r="A196" s="71"/>
      <c r="B196" s="70"/>
      <c r="C196" s="70"/>
      <c r="D196" s="70"/>
      <c r="E196" s="261"/>
      <c r="H196" s="70"/>
      <c r="I196" s="71"/>
    </row>
    <row r="197" spans="1:9" s="230" customFormat="1" x14ac:dyDescent="0.25">
      <c r="A197" s="71"/>
      <c r="B197" s="70"/>
      <c r="C197" s="70"/>
      <c r="D197" s="70"/>
      <c r="E197" s="261"/>
      <c r="H197" s="70"/>
      <c r="I197" s="71"/>
    </row>
    <row r="198" spans="1:9" s="230" customFormat="1" x14ac:dyDescent="0.25">
      <c r="A198" s="71"/>
      <c r="B198" s="70"/>
      <c r="C198" s="70"/>
      <c r="D198" s="70"/>
      <c r="E198" s="261"/>
      <c r="H198" s="70"/>
      <c r="I198" s="71"/>
    </row>
    <row r="199" spans="1:9" s="230" customFormat="1" x14ac:dyDescent="0.25">
      <c r="A199" s="71"/>
      <c r="B199" s="70"/>
      <c r="C199" s="70"/>
      <c r="D199" s="70"/>
      <c r="E199" s="261"/>
      <c r="H199" s="70"/>
      <c r="I199" s="71"/>
    </row>
    <row r="200" spans="1:9" s="230" customFormat="1" x14ac:dyDescent="0.25">
      <c r="A200" s="71"/>
      <c r="B200" s="70"/>
      <c r="C200" s="70"/>
      <c r="D200" s="70"/>
      <c r="E200" s="261"/>
      <c r="H200" s="70"/>
      <c r="I200" s="71"/>
    </row>
    <row r="201" spans="1:9" s="230" customFormat="1" x14ac:dyDescent="0.25">
      <c r="A201" s="71"/>
      <c r="B201" s="70"/>
      <c r="C201" s="70"/>
      <c r="D201" s="70"/>
      <c r="E201" s="261"/>
      <c r="H201" s="70"/>
      <c r="I201" s="71"/>
    </row>
    <row r="202" spans="1:9" s="230" customFormat="1" x14ac:dyDescent="0.25">
      <c r="A202" s="71"/>
      <c r="B202" s="70"/>
      <c r="C202" s="70"/>
      <c r="D202" s="70"/>
      <c r="E202" s="261"/>
      <c r="H202" s="70"/>
      <c r="I202" s="71"/>
    </row>
    <row r="203" spans="1:9" s="230" customFormat="1" x14ac:dyDescent="0.25">
      <c r="A203" s="71"/>
      <c r="B203" s="70"/>
      <c r="C203" s="70"/>
      <c r="D203" s="70"/>
      <c r="E203" s="261"/>
      <c r="H203" s="70"/>
      <c r="I203" s="71"/>
    </row>
    <row r="204" spans="1:9" s="230" customFormat="1" x14ac:dyDescent="0.25">
      <c r="A204" s="71"/>
      <c r="B204" s="70"/>
      <c r="C204" s="70"/>
      <c r="D204" s="70"/>
      <c r="E204" s="261"/>
      <c r="H204" s="70"/>
      <c r="I204" s="71"/>
    </row>
    <row r="205" spans="1:9" s="230" customFormat="1" x14ac:dyDescent="0.25">
      <c r="A205" s="71"/>
      <c r="B205" s="70"/>
      <c r="C205" s="70"/>
      <c r="D205" s="70"/>
      <c r="E205" s="261"/>
      <c r="H205" s="70"/>
      <c r="I205" s="71"/>
    </row>
    <row r="206" spans="1:9" s="230" customFormat="1" x14ac:dyDescent="0.25">
      <c r="A206" s="71"/>
      <c r="B206" s="70"/>
      <c r="C206" s="70"/>
      <c r="D206" s="70"/>
      <c r="E206" s="261"/>
      <c r="H206" s="70"/>
      <c r="I206" s="71"/>
    </row>
    <row r="207" spans="1:9" s="230" customFormat="1" x14ac:dyDescent="0.25">
      <c r="A207" s="71"/>
      <c r="B207" s="70"/>
      <c r="C207" s="70"/>
      <c r="D207" s="70"/>
      <c r="E207" s="261"/>
      <c r="H207" s="70"/>
      <c r="I207" s="71"/>
    </row>
    <row r="208" spans="1:9" s="230" customFormat="1" x14ac:dyDescent="0.25">
      <c r="A208" s="71"/>
      <c r="B208" s="70"/>
      <c r="C208" s="70"/>
      <c r="D208" s="70"/>
      <c r="E208" s="261"/>
      <c r="H208" s="70"/>
      <c r="I208" s="71"/>
    </row>
    <row r="209" spans="1:9" s="230" customFormat="1" x14ac:dyDescent="0.25">
      <c r="A209" s="71"/>
      <c r="B209" s="70"/>
      <c r="C209" s="70"/>
      <c r="D209" s="70"/>
      <c r="E209" s="261"/>
      <c r="H209" s="70"/>
      <c r="I209" s="71"/>
    </row>
    <row r="210" spans="1:9" s="230" customFormat="1" x14ac:dyDescent="0.25">
      <c r="A210" s="71"/>
      <c r="B210" s="70"/>
      <c r="C210" s="70"/>
      <c r="D210" s="70"/>
      <c r="E210" s="261"/>
      <c r="H210" s="70"/>
      <c r="I210" s="71"/>
    </row>
    <row r="211" spans="1:9" s="230" customFormat="1" x14ac:dyDescent="0.25">
      <c r="A211" s="71"/>
      <c r="B211" s="70"/>
      <c r="C211" s="70"/>
      <c r="D211" s="70"/>
      <c r="E211" s="261"/>
      <c r="H211" s="70"/>
      <c r="I211" s="71"/>
    </row>
    <row r="212" spans="1:9" s="230" customFormat="1" x14ac:dyDescent="0.25">
      <c r="A212" s="71"/>
      <c r="B212" s="70"/>
      <c r="C212" s="70"/>
      <c r="D212" s="70"/>
      <c r="E212" s="261"/>
      <c r="H212" s="70"/>
      <c r="I212" s="71"/>
    </row>
    <row r="213" spans="1:9" s="230" customFormat="1" x14ac:dyDescent="0.25">
      <c r="A213" s="71"/>
      <c r="B213" s="70"/>
      <c r="C213" s="70"/>
      <c r="D213" s="70"/>
      <c r="E213" s="261"/>
      <c r="H213" s="70"/>
      <c r="I213" s="71"/>
    </row>
    <row r="214" spans="1:9" s="230" customFormat="1" x14ac:dyDescent="0.25">
      <c r="A214" s="71"/>
      <c r="B214" s="70"/>
      <c r="C214" s="70"/>
      <c r="D214" s="70"/>
      <c r="E214" s="261"/>
      <c r="H214" s="70"/>
      <c r="I214" s="71"/>
    </row>
    <row r="215" spans="1:9" s="230" customFormat="1" x14ac:dyDescent="0.25">
      <c r="A215" s="71"/>
      <c r="B215" s="70"/>
      <c r="C215" s="70"/>
      <c r="D215" s="70"/>
      <c r="E215" s="261"/>
      <c r="H215" s="70"/>
      <c r="I215" s="71"/>
    </row>
    <row r="216" spans="1:9" s="230" customFormat="1" x14ac:dyDescent="0.25">
      <c r="A216" s="71"/>
      <c r="B216" s="70"/>
      <c r="C216" s="70"/>
      <c r="D216" s="70"/>
      <c r="E216" s="261"/>
      <c r="H216" s="70"/>
      <c r="I216" s="71"/>
    </row>
    <row r="217" spans="1:9" s="230" customFormat="1" x14ac:dyDescent="0.25">
      <c r="A217" s="71"/>
      <c r="B217" s="70"/>
      <c r="C217" s="70"/>
      <c r="D217" s="70"/>
      <c r="E217" s="261"/>
      <c r="H217" s="70"/>
      <c r="I217" s="71"/>
    </row>
    <row r="218" spans="1:9" s="230" customFormat="1" x14ac:dyDescent="0.25">
      <c r="A218" s="71"/>
      <c r="B218" s="70"/>
      <c r="C218" s="70"/>
      <c r="D218" s="70"/>
      <c r="E218" s="261"/>
      <c r="H218" s="70"/>
      <c r="I218" s="71"/>
    </row>
    <row r="219" spans="1:9" s="230" customFormat="1" x14ac:dyDescent="0.25">
      <c r="A219" s="71"/>
      <c r="B219" s="70"/>
      <c r="C219" s="70"/>
      <c r="D219" s="70"/>
      <c r="E219" s="261"/>
      <c r="H219" s="70"/>
      <c r="I219" s="71"/>
    </row>
    <row r="220" spans="1:9" s="230" customFormat="1" x14ac:dyDescent="0.25">
      <c r="A220" s="71"/>
      <c r="B220" s="70"/>
      <c r="C220" s="70"/>
      <c r="D220" s="70"/>
      <c r="E220" s="261"/>
      <c r="H220" s="70"/>
      <c r="I220" s="71"/>
    </row>
    <row r="221" spans="1:9" s="230" customFormat="1" x14ac:dyDescent="0.25">
      <c r="A221" s="71"/>
      <c r="B221" s="70"/>
      <c r="C221" s="70"/>
      <c r="D221" s="70"/>
      <c r="E221" s="261"/>
      <c r="H221" s="70"/>
      <c r="I221" s="71"/>
    </row>
    <row r="222" spans="1:9" s="230" customFormat="1" x14ac:dyDescent="0.25">
      <c r="A222" s="71"/>
      <c r="B222" s="70"/>
      <c r="C222" s="70"/>
      <c r="D222" s="70"/>
      <c r="E222" s="261"/>
      <c r="H222" s="70"/>
      <c r="I222" s="71"/>
    </row>
    <row r="223" spans="1:9" s="230" customFormat="1" x14ac:dyDescent="0.25">
      <c r="A223" s="71"/>
      <c r="B223" s="70"/>
      <c r="C223" s="70"/>
      <c r="D223" s="70"/>
      <c r="E223" s="261"/>
      <c r="H223" s="70"/>
      <c r="I223" s="71"/>
    </row>
    <row r="224" spans="1:9" s="230" customFormat="1" x14ac:dyDescent="0.25">
      <c r="A224" s="71"/>
      <c r="B224" s="70"/>
      <c r="C224" s="70"/>
      <c r="D224" s="70"/>
      <c r="E224" s="261"/>
      <c r="H224" s="70"/>
      <c r="I224" s="71"/>
    </row>
    <row r="225" spans="1:9" s="230" customFormat="1" x14ac:dyDescent="0.25">
      <c r="A225" s="71"/>
      <c r="B225" s="70"/>
      <c r="C225" s="70"/>
      <c r="D225" s="70"/>
      <c r="E225" s="261"/>
      <c r="H225" s="70"/>
      <c r="I225" s="71"/>
    </row>
    <row r="226" spans="1:9" s="230" customFormat="1" x14ac:dyDescent="0.25">
      <c r="A226" s="71"/>
      <c r="B226" s="70"/>
      <c r="C226" s="70"/>
      <c r="D226" s="70"/>
      <c r="E226" s="261"/>
      <c r="H226" s="70"/>
      <c r="I226" s="71"/>
    </row>
    <row r="227" spans="1:9" s="230" customFormat="1" x14ac:dyDescent="0.25">
      <c r="A227" s="71"/>
      <c r="B227" s="70"/>
      <c r="C227" s="70"/>
      <c r="D227" s="70"/>
      <c r="E227" s="261"/>
      <c r="H227" s="70"/>
      <c r="I227" s="71"/>
    </row>
    <row r="228" spans="1:9" s="230" customFormat="1" x14ac:dyDescent="0.25">
      <c r="A228" s="71"/>
      <c r="B228" s="70"/>
      <c r="C228" s="70"/>
      <c r="D228" s="70"/>
      <c r="E228" s="261"/>
      <c r="H228" s="70"/>
      <c r="I228" s="71"/>
    </row>
    <row r="229" spans="1:9" s="230" customFormat="1" x14ac:dyDescent="0.25">
      <c r="A229" s="71"/>
      <c r="B229" s="70"/>
      <c r="C229" s="70"/>
      <c r="D229" s="70"/>
      <c r="E229" s="261"/>
      <c r="H229" s="70"/>
      <c r="I229" s="71"/>
    </row>
    <row r="230" spans="1:9" s="230" customFormat="1" x14ac:dyDescent="0.25">
      <c r="A230" s="71"/>
      <c r="B230" s="70"/>
      <c r="C230" s="70"/>
      <c r="D230" s="70"/>
      <c r="E230" s="261"/>
      <c r="H230" s="70"/>
      <c r="I230" s="71"/>
    </row>
    <row r="231" spans="1:9" s="230" customFormat="1" x14ac:dyDescent="0.25">
      <c r="A231" s="71"/>
      <c r="B231" s="70"/>
      <c r="C231" s="70"/>
      <c r="D231" s="70"/>
      <c r="E231" s="261"/>
      <c r="H231" s="70"/>
      <c r="I231" s="71"/>
    </row>
    <row r="232" spans="1:9" s="230" customFormat="1" x14ac:dyDescent="0.25">
      <c r="A232" s="71"/>
      <c r="B232" s="70"/>
      <c r="C232" s="70"/>
      <c r="D232" s="70"/>
      <c r="E232" s="261"/>
      <c r="H232" s="70"/>
      <c r="I232" s="71"/>
    </row>
    <row r="233" spans="1:9" s="230" customFormat="1" x14ac:dyDescent="0.25">
      <c r="A233" s="71"/>
      <c r="B233" s="70"/>
      <c r="C233" s="70"/>
      <c r="D233" s="70"/>
      <c r="E233" s="261"/>
      <c r="H233" s="70"/>
      <c r="I233" s="71"/>
    </row>
    <row r="234" spans="1:9" s="230" customFormat="1" x14ac:dyDescent="0.25">
      <c r="A234" s="71"/>
      <c r="B234" s="70"/>
      <c r="C234" s="70"/>
      <c r="D234" s="70"/>
      <c r="E234" s="261"/>
      <c r="H234" s="70"/>
      <c r="I234" s="71"/>
    </row>
    <row r="235" spans="1:9" s="230" customFormat="1" x14ac:dyDescent="0.25">
      <c r="A235" s="71"/>
      <c r="B235" s="70"/>
      <c r="C235" s="70"/>
      <c r="D235" s="70"/>
      <c r="E235" s="261"/>
      <c r="H235" s="70"/>
      <c r="I235" s="71"/>
    </row>
    <row r="236" spans="1:9" s="230" customFormat="1" x14ac:dyDescent="0.25">
      <c r="A236" s="71"/>
      <c r="B236" s="70"/>
      <c r="C236" s="70"/>
      <c r="D236" s="70"/>
      <c r="E236" s="261"/>
      <c r="H236" s="70"/>
      <c r="I236" s="71"/>
    </row>
    <row r="237" spans="1:9" s="230" customFormat="1" x14ac:dyDescent="0.25">
      <c r="A237" s="71"/>
      <c r="B237" s="70"/>
      <c r="C237" s="70"/>
      <c r="D237" s="70"/>
      <c r="E237" s="261"/>
      <c r="H237" s="70"/>
      <c r="I237" s="71"/>
    </row>
    <row r="238" spans="1:9" s="230" customFormat="1" x14ac:dyDescent="0.25">
      <c r="A238" s="71"/>
      <c r="B238" s="70"/>
      <c r="C238" s="70"/>
      <c r="D238" s="70"/>
      <c r="E238" s="261"/>
      <c r="H238" s="70"/>
      <c r="I238" s="71"/>
    </row>
  </sheetData>
  <mergeCells count="9">
    <mergeCell ref="H11:H15"/>
    <mergeCell ref="I11:I15"/>
    <mergeCell ref="B66:F66"/>
    <mergeCell ref="B2:F2"/>
    <mergeCell ref="C3:D3"/>
    <mergeCell ref="E3:F3"/>
    <mergeCell ref="C4:D4"/>
    <mergeCell ref="E4:F4"/>
    <mergeCell ref="B11:F1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27</vt:i4>
      </vt:variant>
      <vt:variant>
        <vt:lpstr>Intervalos Nomeados</vt:lpstr>
      </vt:variant>
      <vt:variant>
        <vt:i4>8</vt:i4>
      </vt:variant>
    </vt:vector>
  </HeadingPairs>
  <TitlesOfParts>
    <vt:vector size="35" baseType="lpstr">
      <vt:lpstr>Controle de Revisões</vt:lpstr>
      <vt:lpstr>Instruções</vt:lpstr>
      <vt:lpstr>Diretório</vt:lpstr>
      <vt:lpstr>E1GC</vt:lpstr>
      <vt:lpstr>_E1GC</vt:lpstr>
      <vt:lpstr>E1G2G</vt:lpstr>
      <vt:lpstr>_E1G2G</vt:lpstr>
      <vt:lpstr>E2G</vt:lpstr>
      <vt:lpstr>_E2G</vt:lpstr>
      <vt:lpstr>E1G Flex</vt:lpstr>
      <vt:lpstr>_E1G Flex</vt:lpstr>
      <vt:lpstr>E1GM</vt:lpstr>
      <vt:lpstr>_E1GM</vt:lpstr>
      <vt:lpstr>E1GMI</vt:lpstr>
      <vt:lpstr>_E1GMI</vt:lpstr>
      <vt:lpstr>Biodiesel</vt:lpstr>
      <vt:lpstr>_Biodiesel</vt:lpstr>
      <vt:lpstr>CombAlterHEFA</vt:lpstr>
      <vt:lpstr>_BioQavHEFA</vt:lpstr>
      <vt:lpstr>Biometano</vt:lpstr>
      <vt:lpstr>_Biometano</vt:lpstr>
      <vt:lpstr>Dados auxiliares</vt:lpstr>
      <vt:lpstr>FE's queima combustíveis</vt:lpstr>
      <vt:lpstr>_Emissões Agrícolas</vt:lpstr>
      <vt:lpstr>Enderecos</vt:lpstr>
      <vt:lpstr>Listas</vt:lpstr>
      <vt:lpstr>calculos_Anna</vt:lpstr>
      <vt:lpstr>Bioquerosene</vt:lpstr>
      <vt:lpstr>CAR</vt:lpstr>
      <vt:lpstr>Etanol</vt:lpstr>
      <vt:lpstr>Produtos_HEFA</vt:lpstr>
      <vt:lpstr>Residuos</vt:lpstr>
      <vt:lpstr>Rota_Biodiesel</vt:lpstr>
      <vt:lpstr>Sistema_Plantio</vt:lpstr>
      <vt:lpstr>SN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Scachetti</dc:creator>
  <cp:lastModifiedBy>IVAN CESAR ZANATTA</cp:lastModifiedBy>
  <cp:lastPrinted>2020-01-09T17:46:00Z</cp:lastPrinted>
  <dcterms:created xsi:type="dcterms:W3CDTF">2017-05-16T14:21:58Z</dcterms:created>
  <dcterms:modified xsi:type="dcterms:W3CDTF">2020-01-10T11:59:28Z</dcterms:modified>
</cp:coreProperties>
</file>